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igu\OneDrive\Desktop\SBML\"/>
    </mc:Choice>
  </mc:AlternateContent>
  <xr:revisionPtr revIDLastSave="0" documentId="13_ncr:1_{9A322156-BB36-45FB-B533-BBD9A4E2545F}" xr6:coauthVersionLast="46" xr6:coauthVersionMax="46" xr10:uidLastSave="{00000000-0000-0000-0000-000000000000}"/>
  <bookViews>
    <workbookView xWindow="-93" yWindow="-93" windowWidth="25786" windowHeight="13986" tabRatio="725" firstSheet="3" activeTab="5" xr2:uid="{FF55565B-4588-46DB-84B7-C0249F8DD3B7}"/>
  </bookViews>
  <sheets>
    <sheet name="Parameters" sheetId="2" r:id="rId1"/>
    <sheet name="Example" sheetId="7" r:id="rId2"/>
    <sheet name="Test A, Time 1" sheetId="1" r:id="rId3"/>
    <sheet name="Test A, Time 2" sheetId="3" r:id="rId4"/>
    <sheet name="Test B, Time 1" sheetId="8" r:id="rId5"/>
    <sheet name="Test B, Time 2" sheetId="5" r:id="rId6"/>
    <sheet name="Summary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5" l="1"/>
  <c r="C7" i="5" s="1"/>
  <c r="B6" i="5"/>
  <c r="C6" i="5" s="1"/>
  <c r="B5" i="5"/>
  <c r="H7" i="5"/>
  <c r="I7" i="5" s="1"/>
  <c r="H6" i="5"/>
  <c r="I6" i="5" s="1"/>
  <c r="H5" i="5"/>
  <c r="H7" i="3"/>
  <c r="H6" i="3"/>
  <c r="H5" i="3"/>
  <c r="H7" i="8"/>
  <c r="H6" i="8"/>
  <c r="I6" i="8" s="1"/>
  <c r="H5" i="8"/>
  <c r="I5" i="8" s="1"/>
  <c r="B7" i="8"/>
  <c r="B6" i="8"/>
  <c r="D5" i="8" s="1" a="1"/>
  <c r="D5" i="8" s="1"/>
  <c r="B5" i="8"/>
  <c r="C5" i="8" s="1"/>
  <c r="I7" i="3"/>
  <c r="I6" i="3"/>
  <c r="I5" i="3"/>
  <c r="B7" i="3"/>
  <c r="C7" i="3" s="1"/>
  <c r="D5" i="3" s="1" a="1"/>
  <c r="D5" i="3" s="1"/>
  <c r="B6" i="3"/>
  <c r="C6" i="3" s="1"/>
  <c r="B5" i="3"/>
  <c r="H7" i="1"/>
  <c r="H6" i="1"/>
  <c r="H5" i="1"/>
  <c r="B7" i="1"/>
  <c r="B6" i="1"/>
  <c r="B5" i="1"/>
  <c r="I13" i="5"/>
  <c r="C13" i="5"/>
  <c r="I12" i="5"/>
  <c r="C12" i="5"/>
  <c r="I11" i="5"/>
  <c r="C11" i="5"/>
  <c r="I10" i="5"/>
  <c r="C10" i="5"/>
  <c r="I9" i="5"/>
  <c r="C9" i="5"/>
  <c r="I8" i="5"/>
  <c r="C8" i="5"/>
  <c r="I5" i="5"/>
  <c r="C5" i="5"/>
  <c r="I13" i="8"/>
  <c r="C13" i="8"/>
  <c r="I12" i="8"/>
  <c r="C12" i="8"/>
  <c r="I11" i="8"/>
  <c r="C11" i="8"/>
  <c r="I10" i="8"/>
  <c r="C10" i="8"/>
  <c r="I9" i="8"/>
  <c r="C9" i="8"/>
  <c r="I8" i="8"/>
  <c r="C8" i="8"/>
  <c r="I7" i="8"/>
  <c r="C7" i="8"/>
  <c r="C6" i="8"/>
  <c r="I20" i="3"/>
  <c r="C20" i="3"/>
  <c r="I19" i="3"/>
  <c r="C19" i="3"/>
  <c r="I18" i="3"/>
  <c r="C18" i="3"/>
  <c r="I17" i="3"/>
  <c r="C17" i="3"/>
  <c r="I16" i="3"/>
  <c r="C16" i="3"/>
  <c r="I15" i="3"/>
  <c r="C15" i="3"/>
  <c r="I14" i="3"/>
  <c r="C14" i="3"/>
  <c r="I13" i="3"/>
  <c r="C13" i="3"/>
  <c r="I12" i="3"/>
  <c r="C12" i="3"/>
  <c r="I11" i="3"/>
  <c r="C11" i="3"/>
  <c r="I10" i="3"/>
  <c r="C10" i="3"/>
  <c r="I9" i="3"/>
  <c r="C9" i="3"/>
  <c r="I8" i="3"/>
  <c r="C8" i="3"/>
  <c r="C5" i="3"/>
  <c r="F5" i="6"/>
  <c r="C5" i="6"/>
  <c r="F4" i="6"/>
  <c r="C4" i="6"/>
  <c r="F3" i="6"/>
  <c r="C3" i="6"/>
  <c r="F2" i="6"/>
  <c r="C2" i="6"/>
  <c r="I13" i="7"/>
  <c r="C13" i="7"/>
  <c r="I12" i="7"/>
  <c r="C12" i="7"/>
  <c r="I11" i="7"/>
  <c r="C11" i="7"/>
  <c r="I10" i="7"/>
  <c r="C10" i="7"/>
  <c r="I9" i="7"/>
  <c r="C9" i="7"/>
  <c r="I8" i="7"/>
  <c r="C8" i="7"/>
  <c r="I7" i="7"/>
  <c r="K5" i="7" s="1" a="1"/>
  <c r="K5" i="7" s="1"/>
  <c r="C7" i="7"/>
  <c r="I6" i="7"/>
  <c r="C6" i="7"/>
  <c r="D5" i="7" s="1" a="1"/>
  <c r="D5" i="7" s="1"/>
  <c r="I5" i="7"/>
  <c r="C5" i="7"/>
  <c r="I24" i="5"/>
  <c r="C24" i="5"/>
  <c r="I23" i="5"/>
  <c r="C23" i="5"/>
  <c r="I22" i="5"/>
  <c r="C22" i="5"/>
  <c r="I21" i="5"/>
  <c r="C21" i="5"/>
  <c r="I20" i="5"/>
  <c r="C20" i="5"/>
  <c r="I19" i="5"/>
  <c r="C19" i="5"/>
  <c r="I18" i="5"/>
  <c r="C18" i="5"/>
  <c r="I17" i="5"/>
  <c r="C17" i="5"/>
  <c r="I16" i="5"/>
  <c r="C16" i="5"/>
  <c r="I15" i="5"/>
  <c r="C15" i="5"/>
  <c r="I14" i="5"/>
  <c r="C14" i="5"/>
  <c r="I24" i="8"/>
  <c r="C24" i="8"/>
  <c r="I23" i="8"/>
  <c r="C23" i="8"/>
  <c r="I22" i="8"/>
  <c r="C22" i="8"/>
  <c r="I21" i="8"/>
  <c r="C21" i="8"/>
  <c r="I20" i="8"/>
  <c r="C20" i="8"/>
  <c r="I19" i="8"/>
  <c r="C19" i="8"/>
  <c r="I18" i="8"/>
  <c r="C18" i="8"/>
  <c r="I17" i="8"/>
  <c r="C17" i="8"/>
  <c r="I16" i="8"/>
  <c r="C16" i="8"/>
  <c r="I15" i="8"/>
  <c r="C15" i="8"/>
  <c r="I14" i="8"/>
  <c r="C14" i="8"/>
  <c r="D5" i="5" l="1" a="1"/>
  <c r="D5" i="5" s="1"/>
  <c r="E5" i="5" a="1"/>
  <c r="E5" i="5" s="1"/>
  <c r="E5" i="8" a="1"/>
  <c r="E5" i="8" s="1"/>
  <c r="D4" i="6" s="1" a="1"/>
  <c r="D4" i="6" s="1"/>
  <c r="E5" i="3" a="1"/>
  <c r="E5" i="3" s="1"/>
  <c r="D3" i="6" s="1" a="1"/>
  <c r="D3" i="6" s="1"/>
  <c r="K5" i="5" a="1"/>
  <c r="K5" i="5" s="1"/>
  <c r="N5" i="5" s="1"/>
  <c r="O5" i="5" s="1"/>
  <c r="P5" i="5" s="1"/>
  <c r="K5" i="8" a="1"/>
  <c r="K5" i="8" s="1"/>
  <c r="J5" i="3" a="1"/>
  <c r="J5" i="3" s="1"/>
  <c r="M5" i="3" s="1"/>
  <c r="J5" i="5" a="1"/>
  <c r="J5" i="5" s="1"/>
  <c r="J5" i="8" a="1"/>
  <c r="J5" i="8" s="1"/>
  <c r="M5" i="8" s="1"/>
  <c r="K5" i="3" a="1"/>
  <c r="K5" i="3" s="1"/>
  <c r="E5" i="7" a="1"/>
  <c r="E5" i="7" s="1"/>
  <c r="N5" i="7" s="1"/>
  <c r="O5" i="7" s="1"/>
  <c r="P5" i="7" s="1"/>
  <c r="J5" i="7" a="1"/>
  <c r="J5" i="7" s="1"/>
  <c r="M5" i="7" s="1"/>
  <c r="M5" i="5" l="1"/>
  <c r="N9" i="5" s="1"/>
  <c r="N5" i="8"/>
  <c r="O5" i="8" s="1"/>
  <c r="P5" i="8" s="1"/>
  <c r="N9" i="8" s="1"/>
  <c r="N5" i="3"/>
  <c r="O5" i="3" s="1"/>
  <c r="P5" i="3" s="1"/>
  <c r="M9" i="3" s="1"/>
  <c r="G3" i="6" a="1"/>
  <c r="G3" i="6" s="1"/>
  <c r="G5" i="6" a="1"/>
  <c r="G5" i="6" s="1"/>
  <c r="D5" i="6" a="1"/>
  <c r="D5" i="6" s="1"/>
  <c r="G4" i="6" a="1"/>
  <c r="G4" i="6" s="1"/>
  <c r="O9" i="7"/>
  <c r="N9" i="7"/>
  <c r="M9" i="5" l="1"/>
  <c r="I4" i="6" a="1"/>
  <c r="I4" i="6" s="1"/>
  <c r="M9" i="8"/>
  <c r="M13" i="8" s="1"/>
  <c r="N4" i="6" s="1"/>
  <c r="N9" i="3"/>
  <c r="L3" i="6" s="1" a="1"/>
  <c r="L3" i="6" s="1"/>
  <c r="I3" i="6" a="1"/>
  <c r="I3" i="6" s="1"/>
  <c r="L5" i="6" a="1"/>
  <c r="L5" i="6" s="1"/>
  <c r="M13" i="5"/>
  <c r="N5" i="6" s="1"/>
  <c r="I5" i="6" a="1"/>
  <c r="I5" i="6" s="1"/>
  <c r="N13" i="7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C21" i="1"/>
  <c r="C6" i="1"/>
  <c r="E5" i="1" s="1" a="1"/>
  <c r="E5" i="1" s="1"/>
  <c r="E2" i="6" s="1"/>
  <c r="C8" i="1"/>
  <c r="C7" i="1"/>
  <c r="D5" i="1" s="1" a="1"/>
  <c r="D5" i="1" s="1"/>
  <c r="D2" i="6" s="1"/>
  <c r="C24" i="1"/>
  <c r="C23" i="1"/>
  <c r="C22" i="1"/>
  <c r="C20" i="1"/>
  <c r="C19" i="1"/>
  <c r="C18" i="1"/>
  <c r="C17" i="1"/>
  <c r="C16" i="1"/>
  <c r="C15" i="1"/>
  <c r="C14" i="1"/>
  <c r="C13" i="1"/>
  <c r="C12" i="1"/>
  <c r="C11" i="1"/>
  <c r="C10" i="1"/>
  <c r="C9" i="1"/>
  <c r="C5" i="1"/>
  <c r="L4" i="6" l="1" a="1"/>
  <c r="L4" i="6" s="1"/>
  <c r="M13" i="3"/>
  <c r="N3" i="6" s="1"/>
  <c r="K5" i="1" a="1"/>
  <c r="K5" i="1" s="1"/>
  <c r="H2" i="6" s="1"/>
  <c r="J5" i="1" a="1"/>
  <c r="J5" i="1" s="1"/>
  <c r="M5" i="1" s="1"/>
  <c r="G2" i="6" l="1"/>
  <c r="N5" i="1" l="1"/>
  <c r="O5" i="1" l="1"/>
  <c r="P5" i="1" l="1"/>
  <c r="M9" i="1" s="1"/>
  <c r="I2" i="6" a="1"/>
  <c r="I2" i="6" s="1"/>
  <c r="N9" i="1" l="1"/>
  <c r="L2" i="6" s="1" a="1"/>
  <c r="L2" i="6" s="1"/>
  <c r="M13" i="1" l="1"/>
  <c r="N2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<sst xmlns="http://schemas.openxmlformats.org/spreadsheetml/2006/main" count="178" uniqueCount="69">
  <si>
    <t>mean</t>
  </si>
  <si>
    <t>SD</t>
  </si>
  <si>
    <t>CFU</t>
  </si>
  <si>
    <t>log10(CFU)</t>
  </si>
  <si>
    <t>Group C - Control</t>
  </si>
  <si>
    <t>mean difference</t>
  </si>
  <si>
    <t>SD for difference</t>
  </si>
  <si>
    <t>n</t>
  </si>
  <si>
    <t>USER:</t>
  </si>
  <si>
    <t>Yellow cells indicate  where you must make entries</t>
  </si>
  <si>
    <t>NOTES:</t>
  </si>
  <si>
    <t>In the example in the Appendix of E1054,</t>
  </si>
  <si>
    <t>LCL</t>
  </si>
  <si>
    <t>UCL</t>
  </si>
  <si>
    <t>The multipler in Excel is bigger at 2.35 because Excel rounds down the df to 3!</t>
  </si>
  <si>
    <t>So Excel gives a wider 90% CI [-0.394, 0.172] compared to R's 90% CI [-0.375, 0.153].</t>
  </si>
  <si>
    <t>Equivalence Test Result</t>
  </si>
  <si>
    <t>Intermediate calculations</t>
  </si>
  <si>
    <t>ASTM E1054 - Assessing inactivation of an antimicrobial agent by equivalence testing of the mean log10(number of surviving organisms) on semi-solid medium or filtration</t>
  </si>
  <si>
    <t>The FREE statistical software R was used to do the calculations outlined in the Appendix to E1054 to get:</t>
  </si>
  <si>
    <t>version date: 2021-09-13</t>
  </si>
  <si>
    <t>Equivalency Margin:</t>
  </si>
  <si>
    <t>Parameters</t>
  </si>
  <si>
    <t>Method Reference</t>
  </si>
  <si>
    <t>11.1.3</t>
  </si>
  <si>
    <t>11.1.4</t>
  </si>
  <si>
    <t>Value</t>
  </si>
  <si>
    <t>Yellow cells indicate  where you may make entries</t>
  </si>
  <si>
    <t>In A5, enter the number of replicates in Group A</t>
  </si>
  <si>
    <t>In G5, enter the number of replicates in Group C</t>
  </si>
  <si>
    <t>In B5, B6, B7, …, enter the average CFUs (if there are mulitple plates) for each of the n replicates in Group A</t>
  </si>
  <si>
    <t>In H5, H6, H7, …, enter the average CFUs (if there are mulitple plates) for each of the n replicates in Group C</t>
  </si>
  <si>
    <t>Test A - Neutralizer Effectiveness (Neutralizer + Agent) at first Time Point</t>
  </si>
  <si>
    <t>Test A - Neutralizer Effectiveness (Neutralizer + Agent) at second Time Point (after Hold)</t>
  </si>
  <si>
    <t>Test B - Neutralizer Toxicity (Neutralizer Only) at first Time Point</t>
  </si>
  <si>
    <t>Group A - Test</t>
  </si>
  <si>
    <t>Group B - Test</t>
  </si>
  <si>
    <t>In A5, enter the number of replicates in Group B</t>
  </si>
  <si>
    <t>In B5, B6, B7, …, enter the average CFUs (if there are mulitple plates) for each of the n replicates in Group B</t>
  </si>
  <si>
    <t>Test B - Neutralizer Toxicity (Neutralizer Only) at second Time Point</t>
  </si>
  <si>
    <t>A5 specifies there are n=3 replicates in Group A</t>
  </si>
  <si>
    <t>Example Test A - Neutralizer Effectiveness (Neutralizer + Agent) at first Time Point</t>
  </si>
  <si>
    <t>G5 specifies there are n=3 replicates in Group C</t>
  </si>
  <si>
    <t>B5:B7 indicate the average CFUs (across two plates) for each of the 3 replicates in Group A</t>
  </si>
  <si>
    <t>H5:H7 indicate the average CFUs (across two plates) for each of the 3 replicates in Group C</t>
  </si>
  <si>
    <t>Test</t>
  </si>
  <si>
    <t>Time</t>
  </si>
  <si>
    <t>A</t>
  </si>
  <si>
    <t>Test Mean</t>
  </si>
  <si>
    <t>Test n</t>
  </si>
  <si>
    <t>Test SD</t>
  </si>
  <si>
    <t>Control n</t>
  </si>
  <si>
    <t>Control Mean</t>
  </si>
  <si>
    <t>Control SD</t>
  </si>
  <si>
    <t>df</t>
  </si>
  <si>
    <t>t</t>
  </si>
  <si>
    <t>LCL for difference</t>
  </si>
  <si>
    <t>UCL for difference</t>
  </si>
  <si>
    <t>Conclusion</t>
  </si>
  <si>
    <t>B</t>
  </si>
  <si>
    <t>SE for difference</t>
  </si>
  <si>
    <t>df = 3.6675 (see O5)</t>
  </si>
  <si>
    <t>t-mulitplier = 2.19 (SMALLER than Excel mulitplier in P5)</t>
  </si>
  <si>
    <t xml:space="preserve"> 90% CI: [-0.3745, 0.1525] (NARROWER than Excel 90% CI in N9:O9)</t>
  </si>
  <si>
    <t xml:space="preserve">MORAL: use R instead of Excel for statistcal calculations!  </t>
  </si>
  <si>
    <t>Nonetheless, this Excel calculator is provided to help those who do not want to use R.</t>
  </si>
  <si>
    <t>CI for mean difference</t>
  </si>
  <si>
    <t>NOTE: An equivalence test at 95% confidence uses a two-sided 90% confidence interval!</t>
  </si>
  <si>
    <t>Equivalence Confidence Level: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</si>
</sst>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/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Fill="1"/>
    <xf numFmtId="2" fontId="0" fillId="0" borderId="0" xfId="0" applyNumberFormat="1"/>
    <xf numFmtId="0" fontId="0" fillId="0" borderId="0" xfId="0" applyFill="1" applyAlignment="1">
      <alignment horizontal="center"/>
    </xf>
    <xf numFmtId="0" fontId="5" fillId="0" borderId="0" xfId="0" applyFont="1" applyFill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FB444-B7A2-4449-8F8E-1FB8F9998CC5}">
  <dimension ref="A1:I9"/>
  <sheetViews>
    <sheetView workbookViewId="0">
      <selection activeCell="E6" sqref="E6"/>
    </sheetView>
  </sheetViews>
  <sheetFormatPr defaultRowHeight="14.35" x14ac:dyDescent="0.5"/>
  <sheetData>
    <row r="1" spans="1:9" ht="20.7" x14ac:dyDescent="0.7">
      <c r="A1" s="13" t="s">
        <v>18</v>
      </c>
    </row>
    <row r="2" spans="1:9" x14ac:dyDescent="0.5">
      <c r="A2" s="9" t="s">
        <v>20</v>
      </c>
    </row>
    <row r="3" spans="1:9" x14ac:dyDescent="0.5">
      <c r="A3" s="9"/>
    </row>
    <row r="4" spans="1:9" s="1" customFormat="1" x14ac:dyDescent="0.5">
      <c r="A4" s="1" t="s">
        <v>22</v>
      </c>
      <c r="E4" s="18" t="s">
        <v>26</v>
      </c>
      <c r="G4" s="1" t="s">
        <v>23</v>
      </c>
    </row>
    <row r="5" spans="1:9" x14ac:dyDescent="0.5">
      <c r="A5" t="s">
        <v>21</v>
      </c>
      <c r="E5" s="19">
        <v>0.5</v>
      </c>
      <c r="G5" t="s">
        <v>24</v>
      </c>
    </row>
    <row r="6" spans="1:9" x14ac:dyDescent="0.5">
      <c r="A6" t="s">
        <v>68</v>
      </c>
      <c r="E6" s="19">
        <v>0.95</v>
      </c>
      <c r="G6" t="s">
        <v>25</v>
      </c>
      <c r="I6" t="s">
        <v>67</v>
      </c>
    </row>
    <row r="9" spans="1:9" x14ac:dyDescent="0.5">
      <c r="A9" s="4" t="s">
        <v>8</v>
      </c>
      <c r="B9" s="8" t="s">
        <v>27</v>
      </c>
      <c r="C9" s="4"/>
      <c r="D9" s="4"/>
      <c r="E9" s="4"/>
      <c r="F9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74A37-46CC-4628-860B-38F52AF46AA0}">
  <dimension ref="A1:P29"/>
  <sheetViews>
    <sheetView workbookViewId="0">
      <selection activeCell="N7" sqref="N7:O7"/>
    </sheetView>
  </sheetViews>
  <sheetFormatPr defaultRowHeight="14.35" x14ac:dyDescent="0.5"/>
  <cols>
    <col min="3" max="3" width="17.5859375" customWidth="1"/>
    <col min="6" max="6" width="2.1171875" customWidth="1"/>
    <col min="9" max="9" width="13.703125" customWidth="1"/>
    <col min="12" max="12" width="2.1171875" customWidth="1"/>
    <col min="13" max="13" width="17.703125" customWidth="1"/>
    <col min="14" max="14" width="16.703125" customWidth="1"/>
    <col min="15" max="15" width="16.87890625" customWidth="1"/>
    <col min="16" max="16" width="13.87890625" customWidth="1"/>
  </cols>
  <sheetData>
    <row r="1" spans="1:16" ht="18" x14ac:dyDescent="0.6">
      <c r="A1" s="16" t="s">
        <v>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14.7" thickBot="1" x14ac:dyDescent="0.55000000000000004">
      <c r="A3" s="25" t="s">
        <v>35</v>
      </c>
      <c r="B3" s="25"/>
      <c r="C3" s="25"/>
      <c r="D3" s="25"/>
      <c r="E3" s="25"/>
      <c r="F3" s="3"/>
      <c r="G3" s="25" t="s">
        <v>4</v>
      </c>
      <c r="H3" s="25"/>
      <c r="I3" s="25"/>
      <c r="J3" s="25"/>
      <c r="K3" s="25"/>
      <c r="M3" s="25" t="s">
        <v>17</v>
      </c>
      <c r="N3" s="25"/>
      <c r="O3" s="25"/>
      <c r="P3" s="25"/>
    </row>
    <row r="4" spans="1:16" ht="14.7" thickTop="1" x14ac:dyDescent="0.5">
      <c r="A4" s="5" t="s">
        <v>7</v>
      </c>
      <c r="B4" s="7" t="s">
        <v>2</v>
      </c>
      <c r="C4" s="5" t="s">
        <v>3</v>
      </c>
      <c r="D4" s="5" t="s">
        <v>0</v>
      </c>
      <c r="E4" s="5" t="s">
        <v>1</v>
      </c>
      <c r="F4" s="1"/>
      <c r="G4" s="5" t="s">
        <v>7</v>
      </c>
      <c r="H4" s="7" t="s">
        <v>2</v>
      </c>
      <c r="I4" s="5" t="s">
        <v>3</v>
      </c>
      <c r="J4" s="5" t="s">
        <v>0</v>
      </c>
      <c r="K4" s="5" t="s">
        <v>1</v>
      </c>
      <c r="M4" s="1" t="s">
        <v>5</v>
      </c>
      <c r="N4" s="1" t="s">
        <v>6</v>
      </c>
      <c r="O4" s="1" t="s">
        <v>54</v>
      </c>
      <c r="P4" s="11" t="s">
        <v>55</v>
      </c>
    </row>
    <row r="5" spans="1:16" x14ac:dyDescent="0.5">
      <c r="A5" s="6">
        <v>3</v>
      </c>
      <c r="B5" s="15">
        <v>32</v>
      </c>
      <c r="C5" s="2">
        <f t="shared" ref="C5:C7" si="0">IF(B5,LOG10(B5),"")</f>
        <v>1.505149978319906</v>
      </c>
      <c r="D5" s="2" cm="1">
        <f t="array" aca="1" ref="D5" ca="1">IF(AND(OFFSET(B5,,,A5)&gt;0),AVERAGE(OFFSET(C5,,,A5)),"")</f>
        <v>1.4637862008291345</v>
      </c>
      <c r="E5" s="2" cm="1">
        <f t="array" aca="1" ref="E5" ca="1">IF(AND(OFFSET(B5,,,A5)&gt;0),STDEV(OFFSET(C5,,,A5)),"")</f>
        <v>0.16820932737356925</v>
      </c>
      <c r="F5" s="2"/>
      <c r="G5" s="6">
        <v>3</v>
      </c>
      <c r="H5" s="15">
        <v>20.5</v>
      </c>
      <c r="I5" s="2">
        <f t="shared" ref="I5:I13" si="1">IF(H5,LOG10(H5),"")</f>
        <v>1.3117538610557542</v>
      </c>
      <c r="J5" s="2" cm="1">
        <f t="array" aca="1" ref="J5" ca="1">IF(AND(OFFSET(H5,,,G5)&gt;0),AVERAGE(OFFSET(I5,,,G5)),"")</f>
        <v>1.3527960199977775</v>
      </c>
      <c r="K5" s="2" cm="1">
        <f t="array" aca="1" ref="K5" ca="1">IF(AND(OFFSET(H5,,,G5)&gt;0),STDEV(OFFSET(I5,,,G5)),"")</f>
        <v>0.12327964295405072</v>
      </c>
      <c r="M5">
        <f ca="1">J5-D5</f>
        <v>-0.11099018083135692</v>
      </c>
      <c r="N5">
        <f ca="1">SQRT(E5^2/A5 + K5^2/G5)</f>
        <v>0.12040521608627375</v>
      </c>
      <c r="O5">
        <f ca="1">N5^4/(E5^4/((A5-1)*A5^2)+K5^4/((G5-1)*G5^2))</f>
        <v>3.6674538453277505</v>
      </c>
      <c r="P5">
        <f ca="1">_xlfn.T.INV(Parameters!E6,O5)</f>
        <v>2.3533634348018233</v>
      </c>
    </row>
    <row r="6" spans="1:16" x14ac:dyDescent="0.5">
      <c r="A6" s="2"/>
      <c r="B6" s="15">
        <v>40.5</v>
      </c>
      <c r="C6" s="2">
        <f t="shared" si="0"/>
        <v>1.6074550232146685</v>
      </c>
      <c r="D6" s="2"/>
      <c r="E6" s="2"/>
      <c r="F6" s="2"/>
      <c r="G6" s="2"/>
      <c r="H6" s="15">
        <v>31</v>
      </c>
      <c r="I6" s="2">
        <f t="shared" si="1"/>
        <v>1.4913616938342726</v>
      </c>
      <c r="J6" s="2"/>
      <c r="K6" s="2"/>
    </row>
    <row r="7" spans="1:16" ht="14.7" thickBot="1" x14ac:dyDescent="0.55000000000000004">
      <c r="A7" s="2"/>
      <c r="B7" s="15">
        <v>19</v>
      </c>
      <c r="C7" s="2">
        <f t="shared" si="0"/>
        <v>1.2787536009528289</v>
      </c>
      <c r="D7" s="2"/>
      <c r="E7" s="2"/>
      <c r="F7" s="2"/>
      <c r="G7" s="2"/>
      <c r="H7" s="15">
        <v>18</v>
      </c>
      <c r="I7" s="2">
        <f t="shared" si="1"/>
        <v>1.255272505103306</v>
      </c>
      <c r="J7" s="2"/>
      <c r="K7" s="2"/>
      <c r="N7" s="25" t="s">
        <v>66</v>
      </c>
      <c r="O7" s="25"/>
    </row>
    <row r="8" spans="1:16" ht="14.7" thickTop="1" x14ac:dyDescent="0.5">
      <c r="B8" s="15"/>
      <c r="C8" s="2" t="str">
        <f>IF(B8,LOG10(B8),"")</f>
        <v/>
      </c>
      <c r="H8" s="15"/>
      <c r="I8" s="2" t="str">
        <f t="shared" si="1"/>
        <v/>
      </c>
      <c r="N8" s="5" t="s">
        <v>12</v>
      </c>
      <c r="O8" s="5" t="s">
        <v>13</v>
      </c>
    </row>
    <row r="9" spans="1:16" x14ac:dyDescent="0.5">
      <c r="B9" s="15"/>
      <c r="C9" s="2" t="str">
        <f t="shared" ref="C9:C13" si="2">IF(B9,LOG10(B9),"")</f>
        <v/>
      </c>
      <c r="H9" s="15"/>
      <c r="I9" s="2" t="str">
        <f t="shared" si="1"/>
        <v/>
      </c>
      <c r="N9">
        <f ca="1">M5-P5*N5</f>
        <v>-0.39434741372820586</v>
      </c>
      <c r="O9">
        <f ca="1">M5+P5*N5</f>
        <v>0.17236705206549202</v>
      </c>
    </row>
    <row r="10" spans="1:16" x14ac:dyDescent="0.5">
      <c r="B10" s="15"/>
      <c r="C10" s="2" t="str">
        <f t="shared" si="2"/>
        <v/>
      </c>
      <c r="H10" s="15"/>
      <c r="I10" s="2" t="str">
        <f t="shared" si="1"/>
        <v/>
      </c>
    </row>
    <row r="11" spans="1:16" ht="14.7" thickBot="1" x14ac:dyDescent="0.55000000000000004">
      <c r="B11" s="15"/>
      <c r="C11" s="2" t="str">
        <f t="shared" si="2"/>
        <v/>
      </c>
      <c r="H11" s="15"/>
      <c r="I11" s="2" t="str">
        <f t="shared" si="1"/>
        <v/>
      </c>
    </row>
    <row r="12" spans="1:16" ht="14.7" thickTop="1" x14ac:dyDescent="0.5">
      <c r="B12" s="15"/>
      <c r="C12" s="2" t="str">
        <f t="shared" si="2"/>
        <v/>
      </c>
      <c r="H12" s="15"/>
      <c r="I12" s="2" t="str">
        <f t="shared" si="1"/>
        <v/>
      </c>
      <c r="N12" s="26" t="s">
        <v>16</v>
      </c>
      <c r="O12" s="27"/>
    </row>
    <row r="13" spans="1:16" ht="14.7" thickBot="1" x14ac:dyDescent="0.55000000000000004">
      <c r="B13" s="15"/>
      <c r="C13" s="2" t="str">
        <f t="shared" si="2"/>
        <v/>
      </c>
      <c r="H13" s="15"/>
      <c r="I13" s="2" t="str">
        <f t="shared" si="1"/>
        <v/>
      </c>
      <c r="N13" s="23" t="str">
        <f ca="1">IF(AND(ABS(N9)&lt;=Parameters!$E$5,ABS(O9)&lt;=Parameters!$E$5),"Statistically Equivalent","Not Statistically Equivalent")</f>
        <v>Statistically Equivalent</v>
      </c>
      <c r="O13" s="24"/>
    </row>
    <row r="14" spans="1:16" ht="14.7" thickTop="1" x14ac:dyDescent="0.5"/>
    <row r="16" spans="1:16" x14ac:dyDescent="0.5">
      <c r="M16" t="s">
        <v>10</v>
      </c>
    </row>
    <row r="17" spans="14:15" x14ac:dyDescent="0.5">
      <c r="N17" s="17" t="s">
        <v>11</v>
      </c>
    </row>
    <row r="18" spans="14:15" x14ac:dyDescent="0.5">
      <c r="O18" s="17" t="s">
        <v>40</v>
      </c>
    </row>
    <row r="19" spans="14:15" x14ac:dyDescent="0.5">
      <c r="O19" t="s">
        <v>42</v>
      </c>
    </row>
    <row r="20" spans="14:15" x14ac:dyDescent="0.5">
      <c r="O20" t="s">
        <v>43</v>
      </c>
    </row>
    <row r="21" spans="14:15" x14ac:dyDescent="0.5">
      <c r="O21" t="s">
        <v>44</v>
      </c>
    </row>
    <row r="22" spans="14:15" x14ac:dyDescent="0.5">
      <c r="N22" t="s">
        <v>19</v>
      </c>
    </row>
    <row r="23" spans="14:15" x14ac:dyDescent="0.5">
      <c r="O23" t="s">
        <v>61</v>
      </c>
    </row>
    <row r="24" spans="14:15" x14ac:dyDescent="0.5">
      <c r="O24" t="s">
        <v>62</v>
      </c>
    </row>
    <row r="25" spans="14:15" x14ac:dyDescent="0.5">
      <c r="O25" t="s">
        <v>63</v>
      </c>
    </row>
    <row r="26" spans="14:15" x14ac:dyDescent="0.5">
      <c r="O26" t="s">
        <v>14</v>
      </c>
    </row>
    <row r="27" spans="14:15" x14ac:dyDescent="0.5">
      <c r="O27" t="s">
        <v>15</v>
      </c>
    </row>
    <row r="28" spans="14:15" x14ac:dyDescent="0.5">
      <c r="O28" t="s">
        <v>64</v>
      </c>
    </row>
    <row r="29" spans="14:15" x14ac:dyDescent="0.5">
      <c r="O29" t="s">
        <v>65</v>
      </c>
    </row>
  </sheetData>
  <mergeCells count="6">
    <mergeCell ref="N13:O13"/>
    <mergeCell ref="A3:E3"/>
    <mergeCell ref="G3:K3"/>
    <mergeCell ref="M3:P3"/>
    <mergeCell ref="N7:O7"/>
    <mergeCell ref="N12:O12"/>
  </mergeCells>
  <conditionalFormatting sqref="B5">
    <cfRule type="expression" dxfId="43" priority="4">
      <formula>ROW(B5)-ROW(B$4) &lt;=$A$5</formula>
    </cfRule>
  </conditionalFormatting>
  <conditionalFormatting sqref="B6:B13">
    <cfRule type="expression" dxfId="42" priority="3">
      <formula>ROW(B6)-ROW(B$4) &lt;=$A$5</formula>
    </cfRule>
  </conditionalFormatting>
  <conditionalFormatting sqref="H5">
    <cfRule type="expression" dxfId="41" priority="2">
      <formula>ROW(H5)-ROW(H$4) &lt;=$G$5</formula>
    </cfRule>
  </conditionalFormatting>
  <conditionalFormatting sqref="H6:H13">
    <cfRule type="expression" dxfId="40" priority="1">
      <formula>ROW(H6)-ROW(H$4) &lt;=$G$5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2FB7F05-C1F4-446D-87AF-33A90452C315}">
            <xm:f>NOT(AND(ABS($N$9)&lt;=Parameters!$E$5,ABS($O$9)&lt;=Parameters!$E$5))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50C9534F-E622-48E9-A82A-65326086BD3A}">
            <xm:f>AND(ABS($N$9)&lt;=Parameters!$E$5,ABS($O$9)&lt;=Parameters!$E$5)</xm:f>
            <x14:dxf>
              <fill>
                <patternFill>
                  <bgColor rgb="FF00B050"/>
                </patternFill>
              </fill>
            </x14:dxf>
          </x14:cfRule>
          <xm:sqref>N13:O13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0252-14F2-4BFB-8FD2-A032073E6C9C}">
  <dimension ref="A1:X24"/>
  <sheetViews>
    <sheetView topLeftCell="G1" workbookViewId="0">
      <selection activeCell="G5" sqref="G5:H7"/>
    </sheetView>
  </sheetViews>
  <sheetFormatPr defaultRowHeight="14.35" x14ac:dyDescent="0.5"/>
  <cols>
    <col min="2" max="2" width="9.1171875" style="9"/>
    <col min="3" max="3" width="11.29296875" customWidth="1"/>
    <col min="6" max="6" width="2.1171875" customWidth="1"/>
    <col min="8" max="8" width="9.1171875" style="9"/>
    <col min="9" max="9" width="13.703125" customWidth="1"/>
    <col min="12" max="12" width="2.1171875" customWidth="1"/>
    <col min="13" max="13" width="12.1171875" customWidth="1"/>
    <col min="14" max="14" width="12.87890625" customWidth="1"/>
    <col min="15" max="15" width="5" customWidth="1"/>
    <col min="16" max="16" width="5.41015625" customWidth="1"/>
    <col min="17" max="17" width="1.87890625" customWidth="1"/>
    <col min="18" max="18" width="14.703125" customWidth="1"/>
    <col min="19" max="19" width="13.703125" customWidth="1"/>
  </cols>
  <sheetData>
    <row r="1" spans="1:24" s="9" customFormat="1" ht="18" x14ac:dyDescent="0.6">
      <c r="A1" s="16" t="s">
        <v>32</v>
      </c>
    </row>
    <row r="2" spans="1:24" s="9" customFormat="1" x14ac:dyDescent="0.5"/>
    <row r="3" spans="1:24" ht="14.7" thickBot="1" x14ac:dyDescent="0.55000000000000004">
      <c r="A3" s="25" t="s">
        <v>35</v>
      </c>
      <c r="B3" s="25"/>
      <c r="C3" s="25"/>
      <c r="D3" s="25"/>
      <c r="E3" s="25"/>
      <c r="F3" s="3"/>
      <c r="G3" s="25" t="s">
        <v>4</v>
      </c>
      <c r="H3" s="25"/>
      <c r="I3" s="25"/>
      <c r="J3" s="25"/>
      <c r="K3" s="25"/>
      <c r="M3" s="25" t="s">
        <v>17</v>
      </c>
      <c r="N3" s="25"/>
      <c r="O3" s="25"/>
      <c r="P3" s="25"/>
      <c r="Q3" s="12"/>
    </row>
    <row r="4" spans="1:24" ht="29" thickTop="1" x14ac:dyDescent="0.5">
      <c r="A4" s="5" t="s">
        <v>7</v>
      </c>
      <c r="B4" s="7" t="s">
        <v>2</v>
      </c>
      <c r="C4" s="5" t="s">
        <v>3</v>
      </c>
      <c r="D4" s="5" t="s">
        <v>0</v>
      </c>
      <c r="E4" s="5" t="s">
        <v>1</v>
      </c>
      <c r="F4" s="1"/>
      <c r="G4" s="5" t="s">
        <v>7</v>
      </c>
      <c r="H4" s="7" t="s">
        <v>2</v>
      </c>
      <c r="I4" s="5" t="s">
        <v>3</v>
      </c>
      <c r="J4" s="5" t="s">
        <v>0</v>
      </c>
      <c r="K4" s="5" t="s">
        <v>1</v>
      </c>
      <c r="M4" s="22" t="s">
        <v>5</v>
      </c>
      <c r="N4" s="22" t="s">
        <v>60</v>
      </c>
      <c r="O4" s="1" t="s">
        <v>54</v>
      </c>
      <c r="P4" s="11" t="s">
        <v>55</v>
      </c>
      <c r="Q4" s="11"/>
    </row>
    <row r="5" spans="1:24" x14ac:dyDescent="0.5">
      <c r="A5" s="6">
        <v>3</v>
      </c>
      <c r="B5" s="15">
        <f>(61+52)/2</f>
        <v>56.5</v>
      </c>
      <c r="C5" s="20">
        <f t="shared" ref="C5:C7" si="0">IF(B5,LOG10(B5),"")</f>
        <v>1.7520484478194385</v>
      </c>
      <c r="D5" s="20" cm="1">
        <f t="array" aca="1" ref="D5" ca="1">IF(AND(OFFSET(B5,,,A5)&gt;0),AVERAGE(OFFSET(C5,,,A5)),"")</f>
        <v>1.7492438384787843</v>
      </c>
      <c r="E5" s="21" cm="1">
        <f t="array" aca="1" ref="E5" ca="1">IF(AND(OFFSET(B5,,,A5)&gt;0),STDEV(OFFSET(C5,,,A5)),"")</f>
        <v>4.4616317050495638E-2</v>
      </c>
      <c r="F5" s="2"/>
      <c r="G5" s="6">
        <v>3</v>
      </c>
      <c r="H5" s="15">
        <f>(39+63)/2</f>
        <v>51</v>
      </c>
      <c r="I5" s="20">
        <f t="shared" ref="I5:I24" si="1">IF(H5,LOG10(H5),"")</f>
        <v>1.7075701760979363</v>
      </c>
      <c r="J5" s="20" cm="1">
        <f t="array" aca="1" ref="J5" ca="1">IF(AND(OFFSET(H5,,,G5)&gt;0),AVERAGE(OFFSET(I5,,,G5)),"")</f>
        <v>1.7769312049548056</v>
      </c>
      <c r="K5" s="21" cm="1">
        <f t="array" aca="1" ref="K5" ca="1">IF(AND(OFFSET(H5,,,G5)&gt;0),STDEV(OFFSET(I5,,,G5)),"")</f>
        <v>0.10266498125865182</v>
      </c>
      <c r="M5" s="20">
        <f ca="1">J5-D5</f>
        <v>2.7687366476021325E-2</v>
      </c>
      <c r="N5" s="21">
        <f ca="1">SQRT(E5^2/A5 + K5^2/G5)</f>
        <v>6.4628977308917396E-2</v>
      </c>
      <c r="O5" s="14">
        <f ca="1">N5^4/(E5^4/((A5-1)*A5^2)+K5^4/((G5-1)*G5^2))</f>
        <v>2.7294272285914762</v>
      </c>
      <c r="P5">
        <f ca="1">_xlfn.T.INV(Parameters!E6,O5)</f>
        <v>2.9199855803537247</v>
      </c>
    </row>
    <row r="6" spans="1:24" x14ac:dyDescent="0.5">
      <c r="A6" s="2"/>
      <c r="B6" s="15">
        <f>(48+53)/2</f>
        <v>50.5</v>
      </c>
      <c r="C6" s="20">
        <f t="shared" si="0"/>
        <v>1.7032913781186614</v>
      </c>
      <c r="D6" s="2"/>
      <c r="E6" s="2"/>
      <c r="F6" s="2"/>
      <c r="G6" s="2"/>
      <c r="H6" s="15">
        <f>(66+41)/2</f>
        <v>53.5</v>
      </c>
      <c r="I6" s="20">
        <f t="shared" si="1"/>
        <v>1.7283537820212285</v>
      </c>
      <c r="J6" s="20"/>
      <c r="K6" s="2"/>
    </row>
    <row r="7" spans="1:24" ht="14.7" thickBot="1" x14ac:dyDescent="0.55000000000000004">
      <c r="A7" s="2"/>
      <c r="B7" s="15">
        <f>(60+64)/2</f>
        <v>62</v>
      </c>
      <c r="C7" s="20">
        <f t="shared" si="0"/>
        <v>1.7923916894982539</v>
      </c>
      <c r="D7" s="2"/>
      <c r="E7" s="2"/>
      <c r="F7" s="2"/>
      <c r="G7" s="2"/>
      <c r="H7" s="15">
        <f>(80+77)/2</f>
        <v>78.5</v>
      </c>
      <c r="I7" s="20">
        <f t="shared" si="1"/>
        <v>1.8948696567452525</v>
      </c>
      <c r="J7" s="20"/>
      <c r="K7" s="2"/>
      <c r="M7" s="25" t="s">
        <v>66</v>
      </c>
      <c r="N7" s="25"/>
    </row>
    <row r="8" spans="1:24" ht="14.7" thickTop="1" x14ac:dyDescent="0.5">
      <c r="B8" s="15"/>
      <c r="C8" s="2" t="str">
        <f>IF(B8,LOG10(B8),"")</f>
        <v/>
      </c>
      <c r="H8" s="15"/>
      <c r="I8" s="2" t="str">
        <f t="shared" si="1"/>
        <v/>
      </c>
      <c r="M8" s="5" t="s">
        <v>12</v>
      </c>
      <c r="N8" s="5" t="s">
        <v>13</v>
      </c>
    </row>
    <row r="9" spans="1:24" x14ac:dyDescent="0.5">
      <c r="B9" s="15"/>
      <c r="C9" s="2" t="str">
        <f t="shared" ref="C9:C24" si="2">IF(B9,LOG10(B9),"")</f>
        <v/>
      </c>
      <c r="H9" s="15"/>
      <c r="I9" s="2" t="str">
        <f t="shared" si="1"/>
        <v/>
      </c>
      <c r="M9">
        <f ca="1">M5-P5*N5</f>
        <v>-0.16102831533902554</v>
      </c>
      <c r="N9">
        <f ca="1">M5+P5*N5</f>
        <v>0.21640304829106818</v>
      </c>
    </row>
    <row r="10" spans="1:24" x14ac:dyDescent="0.5">
      <c r="B10" s="15"/>
      <c r="C10" s="2" t="str">
        <f t="shared" si="2"/>
        <v/>
      </c>
      <c r="H10" s="15"/>
      <c r="I10" s="2" t="str">
        <f t="shared" si="1"/>
        <v/>
      </c>
    </row>
    <row r="11" spans="1:24" ht="14.7" thickBot="1" x14ac:dyDescent="0.55000000000000004">
      <c r="B11" s="15"/>
      <c r="C11" s="2" t="str">
        <f t="shared" si="2"/>
        <v/>
      </c>
      <c r="H11" s="15"/>
      <c r="I11" s="2" t="str">
        <f t="shared" si="1"/>
        <v/>
      </c>
    </row>
    <row r="12" spans="1:24" ht="14.7" thickTop="1" x14ac:dyDescent="0.5">
      <c r="B12" s="15"/>
      <c r="C12" s="2" t="str">
        <f t="shared" si="2"/>
        <v/>
      </c>
      <c r="H12" s="15"/>
      <c r="I12" s="2" t="str">
        <f t="shared" si="1"/>
        <v/>
      </c>
      <c r="M12" s="26" t="s">
        <v>16</v>
      </c>
      <c r="N12" s="27"/>
    </row>
    <row r="13" spans="1:24" ht="14.7" thickBot="1" x14ac:dyDescent="0.55000000000000004">
      <c r="B13" s="15"/>
      <c r="C13" s="2" t="str">
        <f t="shared" si="2"/>
        <v/>
      </c>
      <c r="H13" s="15"/>
      <c r="I13" s="2" t="str">
        <f t="shared" si="1"/>
        <v/>
      </c>
      <c r="M13" s="23" t="str">
        <f ca="1">IF(AND(ABS(M9)&lt;=Parameters!$E$5,ABS(N9)&lt;=Parameters!$E$5),"Statistically Equivalent","Not Statistically Equivalent")</f>
        <v>Statistically Equivalent</v>
      </c>
      <c r="N13" s="24"/>
    </row>
    <row r="14" spans="1:24" ht="14.7" thickTop="1" x14ac:dyDescent="0.5">
      <c r="B14" s="15"/>
      <c r="C14" s="2" t="str">
        <f t="shared" si="2"/>
        <v/>
      </c>
      <c r="H14" s="15"/>
      <c r="I14" s="2" t="str">
        <f t="shared" si="1"/>
        <v/>
      </c>
    </row>
    <row r="15" spans="1:24" x14ac:dyDescent="0.5">
      <c r="B15" s="15"/>
      <c r="C15" s="2" t="str">
        <f t="shared" si="2"/>
        <v/>
      </c>
      <c r="H15" s="15"/>
      <c r="I15" s="2" t="str">
        <f t="shared" si="1"/>
        <v/>
      </c>
    </row>
    <row r="16" spans="1:24" x14ac:dyDescent="0.5">
      <c r="B16" s="15"/>
      <c r="C16" s="2" t="str">
        <f t="shared" si="2"/>
        <v/>
      </c>
      <c r="H16" s="15"/>
      <c r="I16" s="2" t="str">
        <f t="shared" si="1"/>
        <v/>
      </c>
      <c r="M16" s="4" t="s">
        <v>8</v>
      </c>
      <c r="N16" s="8" t="s">
        <v>9</v>
      </c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2:24" x14ac:dyDescent="0.5">
      <c r="B17" s="15"/>
      <c r="C17" s="2" t="str">
        <f t="shared" si="2"/>
        <v/>
      </c>
      <c r="H17" s="15"/>
      <c r="I17" s="2" t="str">
        <f t="shared" si="1"/>
        <v/>
      </c>
      <c r="N17" s="8" t="s">
        <v>28</v>
      </c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2:24" x14ac:dyDescent="0.5">
      <c r="B18" s="15"/>
      <c r="C18" s="2" t="str">
        <f t="shared" si="2"/>
        <v/>
      </c>
      <c r="H18" s="15"/>
      <c r="I18" s="2" t="str">
        <f t="shared" si="1"/>
        <v/>
      </c>
      <c r="N18" s="8" t="s">
        <v>30</v>
      </c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2:24" x14ac:dyDescent="0.5">
      <c r="B19" s="15"/>
      <c r="C19" s="2" t="str">
        <f t="shared" si="2"/>
        <v/>
      </c>
      <c r="H19" s="15"/>
      <c r="I19" s="2" t="str">
        <f t="shared" si="1"/>
        <v/>
      </c>
      <c r="N19" s="8" t="s">
        <v>29</v>
      </c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2:24" x14ac:dyDescent="0.5">
      <c r="B20" s="15"/>
      <c r="C20" s="2" t="str">
        <f t="shared" si="2"/>
        <v/>
      </c>
      <c r="H20" s="15"/>
      <c r="I20" s="2" t="str">
        <f t="shared" si="1"/>
        <v/>
      </c>
      <c r="N20" s="8" t="s">
        <v>31</v>
      </c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2:24" x14ac:dyDescent="0.5">
      <c r="B21" s="15"/>
      <c r="C21" s="2" t="str">
        <f t="shared" si="2"/>
        <v/>
      </c>
      <c r="H21" s="15"/>
      <c r="I21" s="2" t="str">
        <f t="shared" si="1"/>
        <v/>
      </c>
    </row>
    <row r="22" spans="2:24" x14ac:dyDescent="0.5">
      <c r="B22" s="15"/>
      <c r="C22" s="2" t="str">
        <f t="shared" si="2"/>
        <v/>
      </c>
      <c r="H22" s="15"/>
      <c r="I22" s="2" t="str">
        <f t="shared" si="1"/>
        <v/>
      </c>
    </row>
    <row r="23" spans="2:24" x14ac:dyDescent="0.5">
      <c r="B23" s="15"/>
      <c r="C23" s="2" t="str">
        <f t="shared" si="2"/>
        <v/>
      </c>
      <c r="H23" s="15"/>
      <c r="I23" s="2" t="str">
        <f t="shared" si="1"/>
        <v/>
      </c>
    </row>
    <row r="24" spans="2:24" x14ac:dyDescent="0.5">
      <c r="B24" s="15"/>
      <c r="C24" s="2" t="str">
        <f t="shared" si="2"/>
        <v/>
      </c>
      <c r="H24" s="15"/>
      <c r="I24" s="2" t="str">
        <f t="shared" si="1"/>
        <v/>
      </c>
    </row>
  </sheetData>
  <mergeCells count="6">
    <mergeCell ref="M13:N13"/>
    <mergeCell ref="M12:N12"/>
    <mergeCell ref="M7:N7"/>
    <mergeCell ref="A3:E3"/>
    <mergeCell ref="G3:K3"/>
    <mergeCell ref="M3:P3"/>
  </mergeCells>
  <conditionalFormatting sqref="B5">
    <cfRule type="expression" dxfId="37" priority="12">
      <formula>ROW(B5)-ROW(B$4) &lt;=$A$5</formula>
    </cfRule>
  </conditionalFormatting>
  <conditionalFormatting sqref="B6:B24">
    <cfRule type="expression" dxfId="36" priority="9">
      <formula>ROW(B6)-ROW(B$4) &lt;=$A$5</formula>
    </cfRule>
  </conditionalFormatting>
  <conditionalFormatting sqref="H5">
    <cfRule type="expression" dxfId="35" priority="6">
      <formula>ROW(H5)-ROW(H$4) &lt;=$G$5</formula>
    </cfRule>
  </conditionalFormatting>
  <conditionalFormatting sqref="H6:H24">
    <cfRule type="expression" dxfId="34" priority="1">
      <formula>ROW(H6)-ROW(H$4) &lt;=$G$5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00000000-000E-0000-0000-000001000000}">
            <xm:f>NOT(AND(ABS($M$9)&lt;=Parameters!$E$5,ABS($N$9)&lt;=Parameters!$E$5))</xm:f>
            <x14:dxf>
              <fill>
                <patternFill>
                  <bgColor rgb="FFFFC000"/>
                </patternFill>
              </fill>
            </x14:dxf>
          </x14:cfRule>
          <x14:cfRule type="expression" priority="20" id="{00000000-000E-0000-0000-000002000000}">
            <xm:f>AND(ABS($M$9)&lt;=Parameters!$E$5,ABS($N$9)&lt;=Parameters!$E$5)</xm:f>
            <x14:dxf>
              <fill>
                <patternFill>
                  <bgColor rgb="FF00B050"/>
                </patternFill>
              </fill>
            </x14:dxf>
          </x14:cfRule>
          <xm:sqref>M13:N13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4575A-A239-4296-BBB9-CC8EAFD243CC}">
  <dimension ref="A1:X20"/>
  <sheetViews>
    <sheetView topLeftCell="G1" workbookViewId="0">
      <selection activeCell="G5" sqref="G5:H7"/>
    </sheetView>
  </sheetViews>
  <sheetFormatPr defaultRowHeight="14.35" x14ac:dyDescent="0.5"/>
  <cols>
    <col min="3" max="3" width="11.29296875" customWidth="1"/>
    <col min="6" max="6" width="2.1171875" customWidth="1"/>
    <col min="9" max="9" width="13.703125" customWidth="1"/>
    <col min="12" max="12" width="2.1171875" customWidth="1"/>
    <col min="13" max="13" width="12.1171875" customWidth="1"/>
    <col min="14" max="14" width="12.87890625" customWidth="1"/>
    <col min="15" max="15" width="5" customWidth="1"/>
    <col min="16" max="16" width="5.41015625" customWidth="1"/>
    <col min="17" max="17" width="1.87890625" customWidth="1"/>
    <col min="18" max="18" width="14.703125" customWidth="1"/>
    <col min="19" max="19" width="13.703125" customWidth="1"/>
  </cols>
  <sheetData>
    <row r="1" spans="1:24" ht="18" x14ac:dyDescent="0.6">
      <c r="A1" s="16" t="s">
        <v>33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4" x14ac:dyDescent="0.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4" ht="14.7" thickBot="1" x14ac:dyDescent="0.55000000000000004">
      <c r="A3" s="25" t="s">
        <v>35</v>
      </c>
      <c r="B3" s="25"/>
      <c r="C3" s="25"/>
      <c r="D3" s="25"/>
      <c r="E3" s="25"/>
      <c r="F3" s="3"/>
      <c r="G3" s="25" t="s">
        <v>4</v>
      </c>
      <c r="H3" s="25"/>
      <c r="I3" s="25"/>
      <c r="J3" s="25"/>
      <c r="K3" s="25"/>
      <c r="M3" s="25" t="s">
        <v>17</v>
      </c>
      <c r="N3" s="25"/>
      <c r="O3" s="25"/>
      <c r="P3" s="25"/>
      <c r="Q3" s="12"/>
    </row>
    <row r="4" spans="1:24" ht="30.75" customHeight="1" thickTop="1" x14ac:dyDescent="0.5">
      <c r="A4" s="5" t="s">
        <v>7</v>
      </c>
      <c r="B4" s="7" t="s">
        <v>2</v>
      </c>
      <c r="C4" s="5" t="s">
        <v>3</v>
      </c>
      <c r="D4" s="5" t="s">
        <v>0</v>
      </c>
      <c r="E4" s="5" t="s">
        <v>1</v>
      </c>
      <c r="F4" s="1"/>
      <c r="G4" s="5" t="s">
        <v>7</v>
      </c>
      <c r="H4" s="7" t="s">
        <v>2</v>
      </c>
      <c r="I4" s="5" t="s">
        <v>3</v>
      </c>
      <c r="J4" s="5" t="s">
        <v>0</v>
      </c>
      <c r="K4" s="5" t="s">
        <v>1</v>
      </c>
      <c r="M4" s="22" t="s">
        <v>5</v>
      </c>
      <c r="N4" s="22" t="s">
        <v>60</v>
      </c>
      <c r="O4" s="1" t="s">
        <v>54</v>
      </c>
      <c r="P4" s="11" t="s">
        <v>55</v>
      </c>
      <c r="Q4" s="11"/>
    </row>
    <row r="5" spans="1:24" x14ac:dyDescent="0.5">
      <c r="A5" s="6">
        <v>3</v>
      </c>
      <c r="B5" s="15">
        <f>(71+42)/2</f>
        <v>56.5</v>
      </c>
      <c r="C5" s="20">
        <f t="shared" ref="C5:C7" si="0">IF(B5,LOG10(B5),"")</f>
        <v>1.7520484478194385</v>
      </c>
      <c r="D5" s="20" cm="1">
        <f t="array" aca="1" ref="D5" ca="1">IF(AND(OFFSET(B5,,,A5)&gt;0),AVERAGE(OFFSET(C5,,,A5)),"")</f>
        <v>1.7571280457328999</v>
      </c>
      <c r="E5" s="21" cm="1">
        <f t="array" aca="1" ref="E5" ca="1">IF(AND(OFFSET(B5,,,A5)&gt;0),STDEV(OFFSET(C5,,,A5)),"")</f>
        <v>4.3990608340679933E-3</v>
      </c>
      <c r="F5" s="2"/>
      <c r="G5" s="6">
        <v>3</v>
      </c>
      <c r="H5" s="15">
        <f>(101+102)/2</f>
        <v>101.5</v>
      </c>
      <c r="I5" s="20">
        <f t="shared" ref="I5:I20" si="1">IF(H5,LOG10(H5),"")</f>
        <v>2.0064660422492318</v>
      </c>
      <c r="J5" s="20" cm="1">
        <f t="array" aca="1" ref="J5" ca="1">IF(AND(OFFSET(H5,,,G5)&gt;0),AVERAGE(OFFSET(I5,,,G5)),"")</f>
        <v>1.8218774253467949</v>
      </c>
      <c r="K5" s="21" cm="1">
        <f t="array" aca="1" ref="K5" ca="1">IF(AND(OFFSET(H5,,,G5)&gt;0),STDEV(OFFSET(I5,,,G5)),"")</f>
        <v>0.16200609138356339</v>
      </c>
      <c r="M5" s="20">
        <f ca="1">J5-D5</f>
        <v>6.4749379613894931E-2</v>
      </c>
      <c r="N5" s="21">
        <f ca="1">SQRT(E5^2/A5 + K5^2/G5)</f>
        <v>9.3568736555185869E-2</v>
      </c>
      <c r="O5" s="14">
        <f ca="1">N5^4/(E5^4/((A5-1)*A5^2)+K5^4/((G5-1)*G5^2))</f>
        <v>2.0029492867687608</v>
      </c>
      <c r="P5">
        <f ca="1">_xlfn.T.INV(Parameters!E6,O5)</f>
        <v>2.9199855803537247</v>
      </c>
    </row>
    <row r="6" spans="1:24" x14ac:dyDescent="0.5">
      <c r="A6" s="2"/>
      <c r="B6" s="15">
        <f>(55+60)/2</f>
        <v>57.5</v>
      </c>
      <c r="C6" s="20">
        <f t="shared" si="0"/>
        <v>1.7596678446896306</v>
      </c>
      <c r="D6" s="2"/>
      <c r="E6" s="2"/>
      <c r="F6" s="2"/>
      <c r="G6" s="2"/>
      <c r="H6" s="15">
        <f>(41+60)/2</f>
        <v>50.5</v>
      </c>
      <c r="I6" s="20">
        <f t="shared" si="1"/>
        <v>1.7032913781186614</v>
      </c>
      <c r="J6" s="20"/>
      <c r="K6" s="2"/>
    </row>
    <row r="7" spans="1:24" ht="14.7" thickBot="1" x14ac:dyDescent="0.55000000000000004">
      <c r="A7" s="2"/>
      <c r="B7" s="15">
        <f>(69+46)/2</f>
        <v>57.5</v>
      </c>
      <c r="C7" s="20">
        <f t="shared" si="0"/>
        <v>1.7596678446896306</v>
      </c>
      <c r="D7" s="2"/>
      <c r="E7" s="2"/>
      <c r="F7" s="2"/>
      <c r="G7" s="2"/>
      <c r="H7" s="15">
        <f>(56+58)/2</f>
        <v>57</v>
      </c>
      <c r="I7" s="20">
        <f t="shared" si="1"/>
        <v>1.7558748556724915</v>
      </c>
      <c r="J7" s="20"/>
      <c r="K7" s="2"/>
      <c r="M7" s="25" t="s">
        <v>66</v>
      </c>
      <c r="N7" s="25"/>
    </row>
    <row r="8" spans="1:24" ht="14.7" thickTop="1" x14ac:dyDescent="0.5">
      <c r="B8" s="15"/>
      <c r="C8" s="2" t="str">
        <f>IF(B8,LOG10(B8),"")</f>
        <v/>
      </c>
      <c r="H8" s="15"/>
      <c r="I8" s="2" t="str">
        <f t="shared" si="1"/>
        <v/>
      </c>
      <c r="M8" s="5" t="s">
        <v>12</v>
      </c>
      <c r="N8" s="5" t="s">
        <v>13</v>
      </c>
    </row>
    <row r="9" spans="1:24" x14ac:dyDescent="0.5">
      <c r="B9" s="15"/>
      <c r="C9" s="2" t="str">
        <f t="shared" ref="C9:C20" si="2">IF(B9,LOG10(B9),"")</f>
        <v/>
      </c>
      <c r="H9" s="15"/>
      <c r="I9" s="2" t="str">
        <f t="shared" si="1"/>
        <v/>
      </c>
      <c r="M9">
        <f ca="1">M5-P5*N5</f>
        <v>-0.20846998189916427</v>
      </c>
      <c r="N9">
        <f ca="1">M5+P5*N5</f>
        <v>0.33796874112695413</v>
      </c>
    </row>
    <row r="10" spans="1:24" x14ac:dyDescent="0.5">
      <c r="B10" s="15"/>
      <c r="C10" s="2" t="str">
        <f t="shared" si="2"/>
        <v/>
      </c>
      <c r="H10" s="15"/>
      <c r="I10" s="2" t="str">
        <f t="shared" si="1"/>
        <v/>
      </c>
    </row>
    <row r="11" spans="1:24" ht="14.7" thickBot="1" x14ac:dyDescent="0.55000000000000004">
      <c r="B11" s="15"/>
      <c r="C11" s="2" t="str">
        <f t="shared" si="2"/>
        <v/>
      </c>
      <c r="H11" s="15"/>
      <c r="I11" s="2" t="str">
        <f t="shared" si="1"/>
        <v/>
      </c>
    </row>
    <row r="12" spans="1:24" ht="14.7" thickTop="1" x14ac:dyDescent="0.5">
      <c r="B12" s="15"/>
      <c r="C12" s="2" t="str">
        <f t="shared" si="2"/>
        <v/>
      </c>
      <c r="H12" s="15"/>
      <c r="I12" s="2" t="str">
        <f t="shared" si="1"/>
        <v/>
      </c>
      <c r="M12" s="26" t="s">
        <v>16</v>
      </c>
      <c r="N12" s="27"/>
    </row>
    <row r="13" spans="1:24" ht="14.7" thickBot="1" x14ac:dyDescent="0.55000000000000004">
      <c r="B13" s="15"/>
      <c r="C13" s="2" t="str">
        <f t="shared" si="2"/>
        <v/>
      </c>
      <c r="H13" s="15"/>
      <c r="I13" s="2" t="str">
        <f t="shared" si="1"/>
        <v/>
      </c>
      <c r="M13" s="23" t="str">
        <f ca="1">IF(AND(ABS(M9)&lt;=Parameters!$E$5,ABS(N9)&lt;=Parameters!$E$5),"Statistically Equivalent","Not Statistically Equivalent")</f>
        <v>Statistically Equivalent</v>
      </c>
      <c r="N13" s="24"/>
    </row>
    <row r="14" spans="1:24" ht="14.7" thickTop="1" x14ac:dyDescent="0.5">
      <c r="B14" s="15"/>
      <c r="C14" s="2" t="str">
        <f t="shared" si="2"/>
        <v/>
      </c>
      <c r="H14" s="15"/>
      <c r="I14" s="2" t="str">
        <f t="shared" si="1"/>
        <v/>
      </c>
    </row>
    <row r="15" spans="1:24" x14ac:dyDescent="0.5">
      <c r="B15" s="15"/>
      <c r="C15" s="2" t="str">
        <f t="shared" si="2"/>
        <v/>
      </c>
      <c r="H15" s="15"/>
      <c r="I15" s="2" t="str">
        <f t="shared" si="1"/>
        <v/>
      </c>
    </row>
    <row r="16" spans="1:24" x14ac:dyDescent="0.5">
      <c r="B16" s="15"/>
      <c r="C16" s="2" t="str">
        <f t="shared" si="2"/>
        <v/>
      </c>
      <c r="H16" s="15"/>
      <c r="I16" s="2" t="str">
        <f t="shared" si="1"/>
        <v/>
      </c>
      <c r="M16" s="4" t="s">
        <v>8</v>
      </c>
      <c r="N16" s="8" t="s">
        <v>9</v>
      </c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2:24" x14ac:dyDescent="0.5">
      <c r="B17" s="15"/>
      <c r="C17" s="2" t="str">
        <f t="shared" si="2"/>
        <v/>
      </c>
      <c r="H17" s="15"/>
      <c r="I17" s="2" t="str">
        <f t="shared" si="1"/>
        <v/>
      </c>
      <c r="N17" s="8" t="s">
        <v>28</v>
      </c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2:24" x14ac:dyDescent="0.5">
      <c r="B18" s="15"/>
      <c r="C18" s="2" t="str">
        <f t="shared" si="2"/>
        <v/>
      </c>
      <c r="H18" s="15"/>
      <c r="I18" s="2" t="str">
        <f t="shared" si="1"/>
        <v/>
      </c>
      <c r="N18" s="8" t="s">
        <v>30</v>
      </c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2:24" x14ac:dyDescent="0.5">
      <c r="B19" s="15"/>
      <c r="C19" s="2" t="str">
        <f t="shared" si="2"/>
        <v/>
      </c>
      <c r="H19" s="15"/>
      <c r="I19" s="2" t="str">
        <f t="shared" si="1"/>
        <v/>
      </c>
      <c r="N19" s="8" t="s">
        <v>29</v>
      </c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2:24" x14ac:dyDescent="0.5">
      <c r="B20" s="15"/>
      <c r="C20" s="2" t="str">
        <f t="shared" si="2"/>
        <v/>
      </c>
      <c r="H20" s="15"/>
      <c r="I20" s="2" t="str">
        <f t="shared" si="1"/>
        <v/>
      </c>
      <c r="N20" s="8" t="s">
        <v>31</v>
      </c>
      <c r="O20" s="4"/>
      <c r="P20" s="4"/>
      <c r="Q20" s="4"/>
      <c r="R20" s="4"/>
      <c r="S20" s="4"/>
      <c r="T20" s="4"/>
      <c r="U20" s="4"/>
      <c r="V20" s="4"/>
      <c r="W20" s="4"/>
      <c r="X20" s="4"/>
    </row>
  </sheetData>
  <mergeCells count="6">
    <mergeCell ref="M13:N13"/>
    <mergeCell ref="A3:E3"/>
    <mergeCell ref="G3:K3"/>
    <mergeCell ref="M3:P3"/>
    <mergeCell ref="M7:N7"/>
    <mergeCell ref="M12:N12"/>
  </mergeCells>
  <conditionalFormatting sqref="B5">
    <cfRule type="expression" dxfId="31" priority="6">
      <formula>ROW(B5)-ROW(B$4) &lt;=$A$5</formula>
    </cfRule>
  </conditionalFormatting>
  <conditionalFormatting sqref="B6:B20">
    <cfRule type="expression" dxfId="30" priority="5">
      <formula>ROW(B6)-ROW(B$4) &lt;=$A$5</formula>
    </cfRule>
  </conditionalFormatting>
  <conditionalFormatting sqref="H8:H20">
    <cfRule type="expression" dxfId="28" priority="3">
      <formula>ROW(H8)-ROW(H$4) &lt;=$G$5</formula>
    </cfRule>
  </conditionalFormatting>
  <conditionalFormatting sqref="H5">
    <cfRule type="expression" dxfId="5" priority="2">
      <formula>ROW(H5)-ROW(H$4) &lt;=$G$5</formula>
    </cfRule>
  </conditionalFormatting>
  <conditionalFormatting sqref="H6:H7">
    <cfRule type="expression" dxfId="4" priority="1">
      <formula>ROW(H6)-ROW(H$4) &lt;=$G$5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972056D-A76C-4BF9-A73C-266C6FE2B7FB}">
            <xm:f>NOT(AND(ABS($M$9)&lt;=Parameters!$E$5,ABS($N$9)&lt;=Parameters!$E$5))</xm:f>
            <x14:dxf>
              <fill>
                <patternFill>
                  <bgColor rgb="FFFFC000"/>
                </patternFill>
              </fill>
            </x14:dxf>
          </x14:cfRule>
          <x14:cfRule type="expression" priority="8" id="{8834924D-5C56-4C3E-AE8A-F67B31A94FA5}">
            <xm:f>AND(ABS($M$9)&lt;=Parameters!$E$5,ABS($N$9)&lt;=Parameters!$E$5)</xm:f>
            <x14:dxf>
              <fill>
                <patternFill>
                  <bgColor rgb="FF00B050"/>
                </patternFill>
              </fill>
            </x14:dxf>
          </x14:cfRule>
          <xm:sqref>M13:N13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18B68-6FDD-43ED-A789-EADCEF19763E}">
  <dimension ref="A1:U24"/>
  <sheetViews>
    <sheetView topLeftCell="D1" workbookViewId="0">
      <selection activeCell="G5" sqref="G5:H7"/>
    </sheetView>
  </sheetViews>
  <sheetFormatPr defaultRowHeight="14.35" x14ac:dyDescent="0.5"/>
  <cols>
    <col min="2" max="2" width="9.1171875" style="9"/>
    <col min="3" max="3" width="11.29296875" customWidth="1"/>
    <col min="6" max="6" width="2.1171875" customWidth="1"/>
    <col min="8" max="8" width="9.1171875" style="9"/>
    <col min="9" max="9" width="13.703125" customWidth="1"/>
    <col min="12" max="12" width="2.1171875" customWidth="1"/>
    <col min="13" max="13" width="12.1171875" customWidth="1"/>
    <col min="14" max="14" width="12.87890625" customWidth="1"/>
    <col min="15" max="15" width="5" customWidth="1"/>
    <col min="16" max="16" width="5.41015625" customWidth="1"/>
    <col min="17" max="17" width="1.87890625" customWidth="1"/>
    <col min="18" max="18" width="14.703125" customWidth="1"/>
    <col min="19" max="19" width="13.703125" customWidth="1"/>
  </cols>
  <sheetData>
    <row r="1" spans="1:21" s="9" customFormat="1" ht="18" x14ac:dyDescent="0.6">
      <c r="A1" s="16" t="s">
        <v>34</v>
      </c>
    </row>
    <row r="2" spans="1:21" s="9" customFormat="1" x14ac:dyDescent="0.5"/>
    <row r="3" spans="1:21" ht="14.7" thickBot="1" x14ac:dyDescent="0.55000000000000004">
      <c r="A3" s="25" t="s">
        <v>36</v>
      </c>
      <c r="B3" s="25"/>
      <c r="C3" s="25"/>
      <c r="D3" s="25"/>
      <c r="E3" s="25"/>
      <c r="F3" s="3"/>
      <c r="G3" s="25" t="s">
        <v>4</v>
      </c>
      <c r="H3" s="25"/>
      <c r="I3" s="25"/>
      <c r="J3" s="25"/>
      <c r="K3" s="25"/>
      <c r="M3" s="25" t="s">
        <v>17</v>
      </c>
      <c r="N3" s="25"/>
      <c r="O3" s="25"/>
      <c r="P3" s="25"/>
      <c r="Q3" s="12"/>
    </row>
    <row r="4" spans="1:21" ht="29" thickTop="1" x14ac:dyDescent="0.5">
      <c r="A4" s="5" t="s">
        <v>7</v>
      </c>
      <c r="B4" s="7" t="s">
        <v>2</v>
      </c>
      <c r="C4" s="5" t="s">
        <v>3</v>
      </c>
      <c r="D4" s="5" t="s">
        <v>0</v>
      </c>
      <c r="E4" s="5" t="s">
        <v>1</v>
      </c>
      <c r="F4" s="1"/>
      <c r="G4" s="5" t="s">
        <v>7</v>
      </c>
      <c r="H4" s="7" t="s">
        <v>2</v>
      </c>
      <c r="I4" s="5" t="s">
        <v>3</v>
      </c>
      <c r="J4" s="5" t="s">
        <v>0</v>
      </c>
      <c r="K4" s="5" t="s">
        <v>1</v>
      </c>
      <c r="M4" s="22" t="s">
        <v>5</v>
      </c>
      <c r="N4" s="22" t="s">
        <v>60</v>
      </c>
      <c r="O4" s="1" t="s">
        <v>54</v>
      </c>
      <c r="P4" s="11" t="s">
        <v>55</v>
      </c>
      <c r="Q4" s="11"/>
    </row>
    <row r="5" spans="1:21" x14ac:dyDescent="0.5">
      <c r="A5" s="6">
        <v>3</v>
      </c>
      <c r="B5" s="15">
        <f>(70+92)/2</f>
        <v>81</v>
      </c>
      <c r="C5" s="20">
        <f t="shared" ref="C5:C7" si="0">IF(B5,LOG10(B5),"")</f>
        <v>1.9084850188786497</v>
      </c>
      <c r="D5" s="20" cm="1">
        <f t="array" aca="1" ref="D5" ca="1">IF(AND(OFFSET(B5,,,A5)&gt;0),AVERAGE(OFFSET(C5,,,A5)),"")</f>
        <v>1.8387002873739273</v>
      </c>
      <c r="E5" s="21" cm="1">
        <f t="array" aca="1" ref="E5" ca="1">IF(AND(OFFSET(B5,,,A5)&gt;0),STDEV(OFFSET(C5,,,A5)),"")</f>
        <v>8.4820159560780609E-2</v>
      </c>
      <c r="F5" s="2"/>
      <c r="G5" s="6">
        <v>3</v>
      </c>
      <c r="H5" s="15">
        <f>(39+63)/2</f>
        <v>51</v>
      </c>
      <c r="I5" s="20">
        <f t="shared" ref="I5:I13" si="1">IF(H5,LOG10(H5),"")</f>
        <v>1.7075701760979363</v>
      </c>
      <c r="J5" s="20" cm="1">
        <f t="array" aca="1" ref="J5" ca="1">IF(AND(OFFSET(H5,,,G5)&gt;0),AVERAGE(OFFSET(I5,,,G5)),"")</f>
        <v>1.7769312049548056</v>
      </c>
      <c r="K5" s="21" cm="1">
        <f t="array" aca="1" ref="K5" ca="1">IF(AND(OFFSET(H5,,,G5)&gt;0),STDEV(OFFSET(I5,,,G5)),"")</f>
        <v>0.10266498125865182</v>
      </c>
      <c r="M5" s="20">
        <f ca="1">J5-D5</f>
        <v>-6.1769082419121712E-2</v>
      </c>
      <c r="N5" s="21">
        <f ca="1">SQRT(E5^2/A5 + K5^2/G5)</f>
        <v>7.6886405050471729E-2</v>
      </c>
      <c r="O5" s="14">
        <f ca="1">N5^4/(E5^4/((A5-1)*A5^2)+K5^4/((G5-1)*G5^2))</f>
        <v>3.8625357049811906</v>
      </c>
      <c r="P5">
        <f ca="1">_xlfn.T.INV(Parameters!E6,O5)</f>
        <v>2.3533634348018233</v>
      </c>
    </row>
    <row r="6" spans="1:21" x14ac:dyDescent="0.5">
      <c r="A6" s="2"/>
      <c r="B6" s="15">
        <f>(63+48)/2</f>
        <v>55.5</v>
      </c>
      <c r="C6" s="20">
        <f t="shared" si="0"/>
        <v>1.7442929831226763</v>
      </c>
      <c r="D6" s="2"/>
      <c r="E6" s="2"/>
      <c r="F6" s="2"/>
      <c r="G6" s="2"/>
      <c r="H6" s="15">
        <f>(66+41)/2</f>
        <v>53.5</v>
      </c>
      <c r="I6" s="20">
        <f t="shared" si="1"/>
        <v>1.7283537820212285</v>
      </c>
      <c r="J6" s="20"/>
      <c r="K6" s="2"/>
    </row>
    <row r="7" spans="1:21" ht="14.7" thickBot="1" x14ac:dyDescent="0.55000000000000004">
      <c r="A7" s="2"/>
      <c r="B7" s="15">
        <f>(83+63)/2</f>
        <v>73</v>
      </c>
      <c r="C7" s="20">
        <f t="shared" si="0"/>
        <v>1.8633228601204559</v>
      </c>
      <c r="D7" s="2"/>
      <c r="E7" s="2"/>
      <c r="F7" s="2"/>
      <c r="G7" s="2"/>
      <c r="H7" s="15">
        <f>(80+77)/2</f>
        <v>78.5</v>
      </c>
      <c r="I7" s="20">
        <f t="shared" si="1"/>
        <v>1.8948696567452525</v>
      </c>
      <c r="J7" s="20"/>
      <c r="K7" s="2"/>
      <c r="M7" s="25" t="s">
        <v>66</v>
      </c>
      <c r="N7" s="25"/>
    </row>
    <row r="8" spans="1:21" ht="14.7" thickTop="1" x14ac:dyDescent="0.5">
      <c r="B8" s="15"/>
      <c r="C8" s="2" t="str">
        <f>IF(B8,LOG10(B8),"")</f>
        <v/>
      </c>
      <c r="H8" s="15"/>
      <c r="I8" s="2" t="str">
        <f t="shared" si="1"/>
        <v/>
      </c>
      <c r="M8" s="5" t="s">
        <v>12</v>
      </c>
      <c r="N8" s="5" t="s">
        <v>13</v>
      </c>
    </row>
    <row r="9" spans="1:21" x14ac:dyDescent="0.5">
      <c r="B9" s="15"/>
      <c r="C9" s="2" t="str">
        <f t="shared" ref="C9:C13" si="2">IF(B9,LOG10(B9),"")</f>
        <v/>
      </c>
      <c r="H9" s="15"/>
      <c r="I9" s="2" t="str">
        <f t="shared" si="1"/>
        <v/>
      </c>
      <c r="M9">
        <f ca="1">M5-P5*N5</f>
        <v>-0.24271073669826412</v>
      </c>
      <c r="N9">
        <f ca="1">M5+P5*N5</f>
        <v>0.1191725718600207</v>
      </c>
    </row>
    <row r="10" spans="1:21" x14ac:dyDescent="0.5">
      <c r="B10" s="15"/>
      <c r="C10" s="2" t="str">
        <f t="shared" si="2"/>
        <v/>
      </c>
      <c r="H10" s="15"/>
      <c r="I10" s="2" t="str">
        <f t="shared" si="1"/>
        <v/>
      </c>
    </row>
    <row r="11" spans="1:21" ht="14.7" thickBot="1" x14ac:dyDescent="0.55000000000000004">
      <c r="B11" s="15"/>
      <c r="C11" s="2" t="str">
        <f t="shared" si="2"/>
        <v/>
      </c>
      <c r="H11" s="15"/>
      <c r="I11" s="2" t="str">
        <f t="shared" si="1"/>
        <v/>
      </c>
    </row>
    <row r="12" spans="1:21" ht="14.7" thickTop="1" x14ac:dyDescent="0.5">
      <c r="B12" s="15"/>
      <c r="C12" s="2" t="str">
        <f t="shared" si="2"/>
        <v/>
      </c>
      <c r="H12" s="15"/>
      <c r="I12" s="2" t="str">
        <f t="shared" si="1"/>
        <v/>
      </c>
      <c r="M12" s="26" t="s">
        <v>16</v>
      </c>
      <c r="N12" s="27"/>
    </row>
    <row r="13" spans="1:21" ht="14.7" thickBot="1" x14ac:dyDescent="0.55000000000000004">
      <c r="B13" s="15"/>
      <c r="C13" s="2" t="str">
        <f t="shared" si="2"/>
        <v/>
      </c>
      <c r="H13" s="15"/>
      <c r="I13" s="2" t="str">
        <f t="shared" si="1"/>
        <v/>
      </c>
      <c r="M13" s="23" t="str">
        <f ca="1">IF(AND(ABS(M9)&lt;=Parameters!$E$5,ABS(N9)&lt;=Parameters!$E$5),"Statistically Equivalent","Not Statistically Equivalent")</f>
        <v>Statistically Equivalent</v>
      </c>
      <c r="N13" s="24"/>
    </row>
    <row r="14" spans="1:21" ht="14.7" thickTop="1" x14ac:dyDescent="0.5">
      <c r="B14" s="15"/>
      <c r="C14" s="2" t="str">
        <f t="shared" ref="C14:C24" si="3">IF(B14,LOG10(B14),"")</f>
        <v/>
      </c>
      <c r="H14" s="15"/>
      <c r="I14" s="2" t="str">
        <f t="shared" ref="I14:I24" si="4">IF(H14,LOG10(H14),"")</f>
        <v/>
      </c>
    </row>
    <row r="15" spans="1:21" x14ac:dyDescent="0.5">
      <c r="B15" s="15"/>
      <c r="C15" s="2" t="str">
        <f t="shared" si="3"/>
        <v/>
      </c>
      <c r="H15" s="15"/>
      <c r="I15" s="2" t="str">
        <f t="shared" si="4"/>
        <v/>
      </c>
    </row>
    <row r="16" spans="1:21" x14ac:dyDescent="0.5">
      <c r="B16" s="15"/>
      <c r="C16" s="2" t="str">
        <f t="shared" si="3"/>
        <v/>
      </c>
      <c r="H16" s="15"/>
      <c r="I16" s="2" t="str">
        <f t="shared" si="4"/>
        <v/>
      </c>
      <c r="M16" s="4" t="s">
        <v>8</v>
      </c>
      <c r="N16" s="8" t="s">
        <v>9</v>
      </c>
      <c r="O16" s="4"/>
      <c r="P16" s="4"/>
      <c r="Q16" s="4"/>
      <c r="R16" s="4"/>
      <c r="S16" s="4"/>
      <c r="T16" s="4"/>
      <c r="U16" s="4"/>
    </row>
    <row r="17" spans="2:21" x14ac:dyDescent="0.5">
      <c r="B17" s="15"/>
      <c r="C17" s="2" t="str">
        <f t="shared" si="3"/>
        <v/>
      </c>
      <c r="H17" s="15"/>
      <c r="I17" s="2" t="str">
        <f t="shared" si="4"/>
        <v/>
      </c>
      <c r="N17" s="8" t="s">
        <v>37</v>
      </c>
      <c r="O17" s="4"/>
      <c r="P17" s="4"/>
      <c r="Q17" s="4"/>
      <c r="R17" s="4"/>
      <c r="S17" s="4"/>
      <c r="T17" s="4"/>
      <c r="U17" s="4"/>
    </row>
    <row r="18" spans="2:21" x14ac:dyDescent="0.5">
      <c r="B18" s="15"/>
      <c r="C18" s="2" t="str">
        <f t="shared" si="3"/>
        <v/>
      </c>
      <c r="H18" s="15"/>
      <c r="I18" s="2" t="str">
        <f t="shared" si="4"/>
        <v/>
      </c>
      <c r="N18" s="8" t="s">
        <v>38</v>
      </c>
      <c r="O18" s="4"/>
      <c r="P18" s="4"/>
      <c r="Q18" s="4"/>
      <c r="R18" s="4"/>
      <c r="S18" s="4"/>
      <c r="T18" s="4"/>
      <c r="U18" s="4"/>
    </row>
    <row r="19" spans="2:21" x14ac:dyDescent="0.5">
      <c r="B19" s="15"/>
      <c r="C19" s="2" t="str">
        <f t="shared" si="3"/>
        <v/>
      </c>
      <c r="H19" s="15"/>
      <c r="I19" s="2" t="str">
        <f t="shared" si="4"/>
        <v/>
      </c>
      <c r="N19" s="8" t="s">
        <v>29</v>
      </c>
      <c r="O19" s="4"/>
      <c r="P19" s="4"/>
      <c r="Q19" s="4"/>
      <c r="R19" s="4"/>
      <c r="S19" s="4"/>
      <c r="T19" s="4"/>
      <c r="U19" s="4"/>
    </row>
    <row r="20" spans="2:21" x14ac:dyDescent="0.5">
      <c r="B20" s="15"/>
      <c r="C20" s="2" t="str">
        <f t="shared" si="3"/>
        <v/>
      </c>
      <c r="H20" s="15"/>
      <c r="I20" s="2" t="str">
        <f t="shared" si="4"/>
        <v/>
      </c>
      <c r="N20" s="8" t="s">
        <v>31</v>
      </c>
      <c r="O20" s="4"/>
      <c r="P20" s="4"/>
      <c r="Q20" s="4"/>
      <c r="R20" s="4"/>
      <c r="S20" s="4"/>
      <c r="T20" s="4"/>
      <c r="U20" s="4"/>
    </row>
    <row r="21" spans="2:21" x14ac:dyDescent="0.5">
      <c r="B21" s="15"/>
      <c r="C21" s="2" t="str">
        <f t="shared" si="3"/>
        <v/>
      </c>
      <c r="H21" s="15"/>
      <c r="I21" s="2" t="str">
        <f t="shared" si="4"/>
        <v/>
      </c>
    </row>
    <row r="22" spans="2:21" x14ac:dyDescent="0.5">
      <c r="B22" s="15"/>
      <c r="C22" s="2" t="str">
        <f t="shared" si="3"/>
        <v/>
      </c>
      <c r="H22" s="15"/>
      <c r="I22" s="2" t="str">
        <f t="shared" si="4"/>
        <v/>
      </c>
    </row>
    <row r="23" spans="2:21" x14ac:dyDescent="0.5">
      <c r="B23" s="15"/>
      <c r="C23" s="2" t="str">
        <f t="shared" si="3"/>
        <v/>
      </c>
      <c r="H23" s="15"/>
      <c r="I23" s="2" t="str">
        <f t="shared" si="4"/>
        <v/>
      </c>
    </row>
    <row r="24" spans="2:21" x14ac:dyDescent="0.5">
      <c r="B24" s="15"/>
      <c r="C24" s="2" t="str">
        <f t="shared" si="3"/>
        <v/>
      </c>
      <c r="H24" s="15"/>
      <c r="I24" s="2" t="str">
        <f t="shared" si="4"/>
        <v/>
      </c>
    </row>
  </sheetData>
  <mergeCells count="6">
    <mergeCell ref="M13:N13"/>
    <mergeCell ref="A3:E3"/>
    <mergeCell ref="G3:K3"/>
    <mergeCell ref="M3:P3"/>
    <mergeCell ref="M7:N7"/>
    <mergeCell ref="M12:N12"/>
  </mergeCells>
  <conditionalFormatting sqref="B14:B24">
    <cfRule type="expression" dxfId="25" priority="11">
      <formula>ROW(B14)-ROW(B$4) &lt;=$A$5</formula>
    </cfRule>
  </conditionalFormatting>
  <conditionalFormatting sqref="H14:H24">
    <cfRule type="expression" dxfId="24" priority="9">
      <formula>ROW(H14)-ROW(H$4) &lt;=$G$5</formula>
    </cfRule>
  </conditionalFormatting>
  <conditionalFormatting sqref="B5">
    <cfRule type="expression" dxfId="23" priority="6">
      <formula>ROW(B5)-ROW(B$4) &lt;=$A$5</formula>
    </cfRule>
  </conditionalFormatting>
  <conditionalFormatting sqref="B6:B13">
    <cfRule type="expression" dxfId="22" priority="5">
      <formula>ROW(B6)-ROW(B$4) &lt;=$A$5</formula>
    </cfRule>
  </conditionalFormatting>
  <conditionalFormatting sqref="H8:H13">
    <cfRule type="expression" dxfId="20" priority="3">
      <formula>ROW(H8)-ROW(H$4) &lt;=$G$5</formula>
    </cfRule>
  </conditionalFormatting>
  <conditionalFormatting sqref="H5">
    <cfRule type="expression" dxfId="3" priority="2">
      <formula>ROW(H5)-ROW(H$4) &lt;=$G$5</formula>
    </cfRule>
  </conditionalFormatting>
  <conditionalFormatting sqref="H6:H7">
    <cfRule type="expression" dxfId="2" priority="1">
      <formula>ROW(H6)-ROW(H$4) &lt;=$G$5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3186FCD-AB79-4BD3-BFEE-1E90F61B3C98}">
            <xm:f>NOT(AND(ABS($M$9)&lt;=Parameters!$E$5,ABS($N$9)&lt;=Parameters!$E$5))</xm:f>
            <x14:dxf>
              <fill>
                <patternFill>
                  <bgColor rgb="FFFFC000"/>
                </patternFill>
              </fill>
            </x14:dxf>
          </x14:cfRule>
          <x14:cfRule type="expression" priority="8" id="{F54F02CE-7A1E-4169-96F6-60A56DB81C27}">
            <xm:f>AND(ABS($M$9)&lt;=Parameters!$E$5,ABS($N$9)&lt;=Parameters!$E$5)</xm:f>
            <x14:dxf>
              <fill>
                <patternFill>
                  <bgColor rgb="FF00B050"/>
                </patternFill>
              </fill>
            </x14:dxf>
          </x14:cfRule>
          <xm:sqref>M13:N13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49D2-711E-4AA2-B83B-1B8B146C597D}">
  <dimension ref="A1:U24"/>
  <sheetViews>
    <sheetView tabSelected="1" workbookViewId="0">
      <selection activeCell="B8" sqref="B8"/>
    </sheetView>
  </sheetViews>
  <sheetFormatPr defaultRowHeight="14.35" x14ac:dyDescent="0.5"/>
  <cols>
    <col min="2" max="2" width="9.1171875" style="9"/>
    <col min="3" max="3" width="11.29296875" customWidth="1"/>
    <col min="6" max="6" width="2.1171875" customWidth="1"/>
    <col min="8" max="8" width="9.1171875" style="9"/>
    <col min="9" max="9" width="13.703125" customWidth="1"/>
    <col min="12" max="12" width="2.1171875" customWidth="1"/>
    <col min="13" max="13" width="12.1171875" customWidth="1"/>
    <col min="14" max="14" width="12.87890625" customWidth="1"/>
    <col min="15" max="15" width="5" customWidth="1"/>
    <col min="16" max="16" width="5.41015625" customWidth="1"/>
    <col min="17" max="17" width="1.87890625" customWidth="1"/>
    <col min="18" max="18" width="14.703125" customWidth="1"/>
    <col min="19" max="19" width="13.703125" customWidth="1"/>
  </cols>
  <sheetData>
    <row r="1" spans="1:21" s="9" customFormat="1" ht="18" x14ac:dyDescent="0.6">
      <c r="A1" s="16" t="s">
        <v>39</v>
      </c>
    </row>
    <row r="2" spans="1:21" s="9" customFormat="1" x14ac:dyDescent="0.5"/>
    <row r="3" spans="1:21" ht="14.7" thickBot="1" x14ac:dyDescent="0.55000000000000004">
      <c r="A3" s="25" t="s">
        <v>36</v>
      </c>
      <c r="B3" s="25"/>
      <c r="C3" s="25"/>
      <c r="D3" s="25"/>
      <c r="E3" s="25"/>
      <c r="F3" s="3"/>
      <c r="G3" s="25" t="s">
        <v>4</v>
      </c>
      <c r="H3" s="25"/>
      <c r="I3" s="25"/>
      <c r="J3" s="25"/>
      <c r="K3" s="25"/>
      <c r="M3" s="25" t="s">
        <v>17</v>
      </c>
      <c r="N3" s="25"/>
      <c r="O3" s="25"/>
      <c r="P3" s="25"/>
      <c r="Q3" s="12"/>
    </row>
    <row r="4" spans="1:21" ht="29" thickTop="1" x14ac:dyDescent="0.5">
      <c r="A4" s="5" t="s">
        <v>7</v>
      </c>
      <c r="B4" s="7" t="s">
        <v>2</v>
      </c>
      <c r="C4" s="5" t="s">
        <v>3</v>
      </c>
      <c r="D4" s="5" t="s">
        <v>0</v>
      </c>
      <c r="E4" s="5" t="s">
        <v>1</v>
      </c>
      <c r="F4" s="1"/>
      <c r="G4" s="5" t="s">
        <v>7</v>
      </c>
      <c r="H4" s="7" t="s">
        <v>2</v>
      </c>
      <c r="I4" s="5" t="s">
        <v>3</v>
      </c>
      <c r="J4" s="5" t="s">
        <v>0</v>
      </c>
      <c r="K4" s="5" t="s">
        <v>1</v>
      </c>
      <c r="M4" s="22" t="s">
        <v>5</v>
      </c>
      <c r="N4" s="22" t="s">
        <v>60</v>
      </c>
      <c r="O4" s="1" t="s">
        <v>54</v>
      </c>
      <c r="P4" s="11" t="s">
        <v>55</v>
      </c>
      <c r="Q4" s="11"/>
    </row>
    <row r="5" spans="1:21" x14ac:dyDescent="0.5">
      <c r="A5" s="6">
        <v>3</v>
      </c>
      <c r="B5" s="15">
        <f>(88+69)/2</f>
        <v>78.5</v>
      </c>
      <c r="C5" s="20">
        <f t="shared" ref="C5:C7" si="0">IF(B5,LOG10(B5),"")</f>
        <v>1.8948696567452525</v>
      </c>
      <c r="D5" s="20" cm="1">
        <f t="array" aca="1" ref="D5" ca="1">IF(AND(OFFSET(B5,,,A5)&gt;0),AVERAGE(OFFSET(C5,,,A5)),"")</f>
        <v>1.8270491481526809</v>
      </c>
      <c r="E5" s="21" cm="1">
        <f t="array" aca="1" ref="E5" ca="1">IF(AND(OFFSET(B5,,,A5)&gt;0),STDEV(OFFSET(C5,,,A5)),"")</f>
        <v>7.6391354450112581E-2</v>
      </c>
      <c r="F5" s="2"/>
      <c r="G5" s="6">
        <v>3</v>
      </c>
      <c r="H5" s="15">
        <f>(101+102)/2</f>
        <v>101.5</v>
      </c>
      <c r="I5" s="20">
        <f t="shared" ref="I5:I13" si="1">IF(H5,LOG10(H5),"")</f>
        <v>2.0064660422492318</v>
      </c>
      <c r="J5" s="20" cm="1">
        <f t="array" aca="1" ref="J5" ca="1">IF(AND(OFFSET(H5,,,G5)&gt;0),AVERAGE(OFFSET(I5,,,G5)),"")</f>
        <v>1.8218774253467949</v>
      </c>
      <c r="K5" s="21" cm="1">
        <f t="array" aca="1" ref="K5" ca="1">IF(AND(OFFSET(H5,,,G5)&gt;0),STDEV(OFFSET(I5,,,G5)),"")</f>
        <v>0.16200609138356339</v>
      </c>
      <c r="M5" s="20">
        <f ca="1">J5-D5</f>
        <v>-5.1717228058860698E-3</v>
      </c>
      <c r="N5" s="21">
        <f ca="1">SQRT(E5^2/A5 + K5^2/G5)</f>
        <v>0.10341117392896866</v>
      </c>
      <c r="O5" s="14">
        <f ca="1">N5^4/(E5^4/((A5-1)*A5^2)+K5^4/((G5-1)*G5^2))</f>
        <v>2.8474798515510242</v>
      </c>
      <c r="P5">
        <f ca="1">_xlfn.T.INV(Parameters!E6,O5)</f>
        <v>2.9199855803537247</v>
      </c>
    </row>
    <row r="6" spans="1:21" x14ac:dyDescent="0.5">
      <c r="A6" s="2"/>
      <c r="B6" s="15">
        <f>(67+72)/2</f>
        <v>69.5</v>
      </c>
      <c r="C6" s="20">
        <f t="shared" si="0"/>
        <v>1.8419848045901139</v>
      </c>
      <c r="D6" s="2"/>
      <c r="E6" s="2"/>
      <c r="F6" s="2"/>
      <c r="G6" s="2"/>
      <c r="H6" s="15">
        <f>(41+60)/2</f>
        <v>50.5</v>
      </c>
      <c r="I6" s="20">
        <f t="shared" si="1"/>
        <v>1.7032913781186614</v>
      </c>
      <c r="J6" s="20"/>
      <c r="K6" s="2"/>
    </row>
    <row r="7" spans="1:21" ht="14.7" thickBot="1" x14ac:dyDescent="0.55000000000000004">
      <c r="A7" s="2"/>
      <c r="B7" s="15">
        <f>(59+52)/2</f>
        <v>55.5</v>
      </c>
      <c r="C7" s="20">
        <f t="shared" si="0"/>
        <v>1.7442929831226763</v>
      </c>
      <c r="D7" s="2"/>
      <c r="E7" s="2"/>
      <c r="F7" s="2"/>
      <c r="G7" s="2"/>
      <c r="H7" s="15">
        <f>(56+58)/2</f>
        <v>57</v>
      </c>
      <c r="I7" s="20">
        <f t="shared" si="1"/>
        <v>1.7558748556724915</v>
      </c>
      <c r="J7" s="20"/>
      <c r="K7" s="2"/>
      <c r="M7" s="25" t="s">
        <v>66</v>
      </c>
      <c r="N7" s="25"/>
    </row>
    <row r="8" spans="1:21" ht="14.7" thickTop="1" x14ac:dyDescent="0.5">
      <c r="B8" s="15"/>
      <c r="C8" s="2" t="str">
        <f>IF(B8,LOG10(B8),"")</f>
        <v/>
      </c>
      <c r="H8" s="15"/>
      <c r="I8" s="2" t="str">
        <f t="shared" si="1"/>
        <v/>
      </c>
      <c r="M8" s="5" t="s">
        <v>12</v>
      </c>
      <c r="N8" s="5" t="s">
        <v>13</v>
      </c>
    </row>
    <row r="9" spans="1:21" x14ac:dyDescent="0.5">
      <c r="B9" s="15"/>
      <c r="C9" s="2" t="str">
        <f t="shared" ref="C9:C13" si="2">IF(B9,LOG10(B9),"")</f>
        <v/>
      </c>
      <c r="H9" s="15"/>
      <c r="I9" s="2" t="str">
        <f t="shared" si="1"/>
        <v/>
      </c>
      <c r="M9">
        <f ca="1">M5-P5*N5</f>
        <v>-0.30713085952592561</v>
      </c>
      <c r="N9">
        <f ca="1">M5+P5*N5</f>
        <v>0.29678741391415348</v>
      </c>
    </row>
    <row r="10" spans="1:21" x14ac:dyDescent="0.5">
      <c r="B10" s="15"/>
      <c r="C10" s="2" t="str">
        <f t="shared" si="2"/>
        <v/>
      </c>
      <c r="H10" s="15"/>
      <c r="I10" s="2" t="str">
        <f t="shared" si="1"/>
        <v/>
      </c>
    </row>
    <row r="11" spans="1:21" ht="14.7" thickBot="1" x14ac:dyDescent="0.55000000000000004">
      <c r="B11" s="15"/>
      <c r="C11" s="2" t="str">
        <f t="shared" si="2"/>
        <v/>
      </c>
      <c r="H11" s="15"/>
      <c r="I11" s="2" t="str">
        <f t="shared" si="1"/>
        <v/>
      </c>
    </row>
    <row r="12" spans="1:21" ht="14.7" thickTop="1" x14ac:dyDescent="0.5">
      <c r="B12" s="15"/>
      <c r="C12" s="2" t="str">
        <f t="shared" si="2"/>
        <v/>
      </c>
      <c r="H12" s="15"/>
      <c r="I12" s="2" t="str">
        <f t="shared" si="1"/>
        <v/>
      </c>
      <c r="M12" s="26" t="s">
        <v>16</v>
      </c>
      <c r="N12" s="27"/>
    </row>
    <row r="13" spans="1:21" ht="14.7" thickBot="1" x14ac:dyDescent="0.55000000000000004">
      <c r="B13" s="15"/>
      <c r="C13" s="2" t="str">
        <f t="shared" si="2"/>
        <v/>
      </c>
      <c r="H13" s="15"/>
      <c r="I13" s="2" t="str">
        <f t="shared" si="1"/>
        <v/>
      </c>
      <c r="M13" s="23" t="str">
        <f ca="1">IF(AND(ABS(M9)&lt;=Parameters!$E$5,ABS(N9)&lt;=Parameters!$E$5),"Statistically Equivalent","Not Statistically Equivalent")</f>
        <v>Statistically Equivalent</v>
      </c>
      <c r="N13" s="24"/>
    </row>
    <row r="14" spans="1:21" ht="14.7" thickTop="1" x14ac:dyDescent="0.5">
      <c r="B14" s="15"/>
      <c r="C14" s="2" t="str">
        <f t="shared" ref="C14:C24" si="3">IF(B14,LOG10(B14),"")</f>
        <v/>
      </c>
      <c r="H14" s="15"/>
      <c r="I14" s="2" t="str">
        <f t="shared" ref="I14:I24" si="4">IF(H14,LOG10(H14),"")</f>
        <v/>
      </c>
    </row>
    <row r="15" spans="1:21" x14ac:dyDescent="0.5">
      <c r="B15" s="15"/>
      <c r="C15" s="2" t="str">
        <f t="shared" si="3"/>
        <v/>
      </c>
      <c r="H15" s="15"/>
      <c r="I15" s="2" t="str">
        <f t="shared" si="4"/>
        <v/>
      </c>
    </row>
    <row r="16" spans="1:21" x14ac:dyDescent="0.5">
      <c r="B16" s="15"/>
      <c r="C16" s="2" t="str">
        <f t="shared" si="3"/>
        <v/>
      </c>
      <c r="H16" s="15"/>
      <c r="I16" s="2" t="str">
        <f t="shared" si="4"/>
        <v/>
      </c>
      <c r="M16" s="4" t="s">
        <v>8</v>
      </c>
      <c r="N16" s="8" t="s">
        <v>9</v>
      </c>
      <c r="O16" s="4"/>
      <c r="P16" s="4"/>
      <c r="Q16" s="4"/>
      <c r="R16" s="4"/>
      <c r="S16" s="4"/>
      <c r="T16" s="4"/>
      <c r="U16" s="4"/>
    </row>
    <row r="17" spans="2:21" x14ac:dyDescent="0.5">
      <c r="B17" s="15"/>
      <c r="C17" s="2" t="str">
        <f t="shared" si="3"/>
        <v/>
      </c>
      <c r="H17" s="15"/>
      <c r="I17" s="2" t="str">
        <f t="shared" si="4"/>
        <v/>
      </c>
      <c r="N17" s="8" t="s">
        <v>37</v>
      </c>
      <c r="O17" s="4"/>
      <c r="P17" s="4"/>
      <c r="Q17" s="4"/>
      <c r="R17" s="4"/>
      <c r="S17" s="4"/>
      <c r="T17" s="4"/>
      <c r="U17" s="4"/>
    </row>
    <row r="18" spans="2:21" x14ac:dyDescent="0.5">
      <c r="B18" s="15"/>
      <c r="C18" s="2" t="str">
        <f t="shared" si="3"/>
        <v/>
      </c>
      <c r="H18" s="15"/>
      <c r="I18" s="2" t="str">
        <f t="shared" si="4"/>
        <v/>
      </c>
      <c r="N18" s="8" t="s">
        <v>38</v>
      </c>
      <c r="O18" s="4"/>
      <c r="P18" s="4"/>
      <c r="Q18" s="4"/>
      <c r="R18" s="4"/>
      <c r="S18" s="4"/>
      <c r="T18" s="4"/>
      <c r="U18" s="4"/>
    </row>
    <row r="19" spans="2:21" x14ac:dyDescent="0.5">
      <c r="B19" s="15"/>
      <c r="C19" s="2" t="str">
        <f t="shared" si="3"/>
        <v/>
      </c>
      <c r="H19" s="15"/>
      <c r="I19" s="2" t="str">
        <f t="shared" si="4"/>
        <v/>
      </c>
      <c r="N19" s="8" t="s">
        <v>29</v>
      </c>
      <c r="O19" s="4"/>
      <c r="P19" s="4"/>
      <c r="Q19" s="4"/>
      <c r="R19" s="4"/>
      <c r="S19" s="4"/>
      <c r="T19" s="4"/>
      <c r="U19" s="4"/>
    </row>
    <row r="20" spans="2:21" x14ac:dyDescent="0.5">
      <c r="B20" s="15"/>
      <c r="C20" s="2" t="str">
        <f t="shared" si="3"/>
        <v/>
      </c>
      <c r="H20" s="15"/>
      <c r="I20" s="2" t="str">
        <f t="shared" si="4"/>
        <v/>
      </c>
      <c r="N20" s="8" t="s">
        <v>31</v>
      </c>
      <c r="O20" s="4"/>
      <c r="P20" s="4"/>
      <c r="Q20" s="4"/>
      <c r="R20" s="4"/>
      <c r="S20" s="4"/>
      <c r="T20" s="4"/>
      <c r="U20" s="4"/>
    </row>
    <row r="21" spans="2:21" x14ac:dyDescent="0.5">
      <c r="B21" s="15"/>
      <c r="C21" s="2" t="str">
        <f t="shared" si="3"/>
        <v/>
      </c>
      <c r="H21" s="15"/>
      <c r="I21" s="2" t="str">
        <f t="shared" si="4"/>
        <v/>
      </c>
    </row>
    <row r="22" spans="2:21" x14ac:dyDescent="0.5">
      <c r="B22" s="15"/>
      <c r="C22" s="2" t="str">
        <f t="shared" si="3"/>
        <v/>
      </c>
      <c r="H22" s="15"/>
      <c r="I22" s="2" t="str">
        <f t="shared" si="4"/>
        <v/>
      </c>
    </row>
    <row r="23" spans="2:21" x14ac:dyDescent="0.5">
      <c r="B23" s="15"/>
      <c r="C23" s="2" t="str">
        <f t="shared" si="3"/>
        <v/>
      </c>
      <c r="H23" s="15"/>
      <c r="I23" s="2" t="str">
        <f t="shared" si="4"/>
        <v/>
      </c>
    </row>
    <row r="24" spans="2:21" x14ac:dyDescent="0.5">
      <c r="B24" s="15"/>
      <c r="C24" s="2" t="str">
        <f t="shared" si="3"/>
        <v/>
      </c>
      <c r="H24" s="15"/>
      <c r="I24" s="2" t="str">
        <f t="shared" si="4"/>
        <v/>
      </c>
    </row>
  </sheetData>
  <mergeCells count="6">
    <mergeCell ref="M13:N13"/>
    <mergeCell ref="A3:E3"/>
    <mergeCell ref="G3:K3"/>
    <mergeCell ref="M3:P3"/>
    <mergeCell ref="M7:N7"/>
    <mergeCell ref="M12:N12"/>
  </mergeCells>
  <conditionalFormatting sqref="B14:B24">
    <cfRule type="expression" dxfId="17" priority="11">
      <formula>ROW(B14)-ROW(B$4) &lt;=$A$5</formula>
    </cfRule>
  </conditionalFormatting>
  <conditionalFormatting sqref="H14:H24">
    <cfRule type="expression" dxfId="16" priority="9">
      <formula>ROW(H14)-ROW(H$4) &lt;=$G$5</formula>
    </cfRule>
  </conditionalFormatting>
  <conditionalFormatting sqref="B5">
    <cfRule type="expression" dxfId="15" priority="6">
      <formula>ROW(B5)-ROW(B$4) &lt;=$A$5</formula>
    </cfRule>
  </conditionalFormatting>
  <conditionalFormatting sqref="B6:B13">
    <cfRule type="expression" dxfId="14" priority="5">
      <formula>ROW(B6)-ROW(B$4) &lt;=$A$5</formula>
    </cfRule>
  </conditionalFormatting>
  <conditionalFormatting sqref="H8:H13">
    <cfRule type="expression" dxfId="12" priority="3">
      <formula>ROW(H8)-ROW(H$4) &lt;=$G$5</formula>
    </cfRule>
  </conditionalFormatting>
  <conditionalFormatting sqref="H5">
    <cfRule type="expression" dxfId="1" priority="2">
      <formula>ROW(H5)-ROW(H$4) &lt;=$G$5</formula>
    </cfRule>
  </conditionalFormatting>
  <conditionalFormatting sqref="H6:H7">
    <cfRule type="expression" dxfId="0" priority="1">
      <formula>ROW(H6)-ROW(H$4) &lt;=$G$5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C7AFFED-6243-470B-9372-C65C8AB545B2}">
            <xm:f>NOT(AND(ABS($M$9)&lt;=Parameters!$E$5,ABS($N$9)&lt;=Parameters!$E$5))</xm:f>
            <x14:dxf>
              <fill>
                <patternFill>
                  <bgColor rgb="FFFFC000"/>
                </patternFill>
              </fill>
            </x14:dxf>
          </x14:cfRule>
          <x14:cfRule type="expression" priority="8" id="{277A6D08-E0F7-4EB8-B856-AC92AE27FF63}">
            <xm:f>AND(ABS($M$9)&lt;=Parameters!$E$5,ABS($N$9)&lt;=Parameters!$E$5)</xm:f>
            <x14:dxf>
              <fill>
                <patternFill>
                  <bgColor rgb="FF00B050"/>
                </patternFill>
              </fill>
            </x14:dxf>
          </x14:cfRule>
          <xm:sqref>M13:N13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ECCCB-2495-43F9-8355-A7BE29416C5D}">
  <dimension ref="A1:Q23"/>
  <sheetViews>
    <sheetView workbookViewId="0"/>
  </sheetViews>
  <sheetFormatPr defaultRowHeight="14.35" x14ac:dyDescent="0.5"/>
  <cols>
    <col min="1" max="2" width="9.1171875" style="2"/>
    <col min="3" max="3" width="11.29296875" customWidth="1"/>
    <col min="4" max="4" width="11.703125" customWidth="1"/>
    <col min="7" max="7" width="14.29296875" customWidth="1"/>
    <col min="8" max="8" width="12.41015625" customWidth="1"/>
    <col min="9" max="9" width="17.29296875" customWidth="1"/>
    <col min="10" max="10" width="16.5859375" customWidth="1"/>
    <col min="11" max="11" width="7.87890625" customWidth="1"/>
    <col min="12" max="12" width="17.87890625" customWidth="1"/>
    <col min="13" max="13" width="18.5859375" customWidth="1"/>
    <col min="14" max="14" width="22" customWidth="1"/>
  </cols>
  <sheetData>
    <row r="1" spans="1:14" s="1" customFormat="1" x14ac:dyDescent="0.5">
      <c r="A1" s="18" t="s">
        <v>45</v>
      </c>
      <c r="B1" s="18" t="s">
        <v>46</v>
      </c>
      <c r="C1" s="1" t="s">
        <v>49</v>
      </c>
      <c r="D1" s="1" t="s">
        <v>48</v>
      </c>
      <c r="E1" s="1" t="s">
        <v>50</v>
      </c>
      <c r="F1" s="1" t="s">
        <v>51</v>
      </c>
      <c r="G1" s="1" t="s">
        <v>52</v>
      </c>
      <c r="H1" s="1" t="s">
        <v>53</v>
      </c>
      <c r="I1" s="1" t="s">
        <v>5</v>
      </c>
      <c r="J1" s="1" t="s">
        <v>6</v>
      </c>
      <c r="K1" s="1" t="s">
        <v>54</v>
      </c>
      <c r="L1" s="1" t="s">
        <v>56</v>
      </c>
      <c r="M1" s="1" t="s">
        <v>57</v>
      </c>
      <c r="N1" s="1" t="s">
        <v>58</v>
      </c>
    </row>
    <row r="2" spans="1:14" x14ac:dyDescent="0.5">
      <c r="A2" s="2" t="s">
        <v>47</v>
      </c>
      <c r="B2" s="2">
        <v>1</v>
      </c>
      <c r="C2">
        <f>'Test A, Time 1'!A5</f>
        <v>3</v>
      </c>
      <c r="D2">
        <f ca="1">'Test A, Time 1'!D5</f>
        <v>1.7492438384787843</v>
      </c>
      <c r="E2">
        <f ca="1">'Test A, Time 1'!E5</f>
        <v>4.4616317050495638E-2</v>
      </c>
      <c r="F2">
        <f>'Test A, Time 1'!G5</f>
        <v>3</v>
      </c>
      <c r="G2">
        <f ca="1">'Test A, Time 1'!J5</f>
        <v>1.7769312049548056</v>
      </c>
      <c r="H2">
        <f ca="1">'Test A, Time 1'!K5</f>
        <v>0.10266498125865182</v>
      </c>
      <c r="I2" cm="1">
        <f t="array" aca="1" ref="I2:K2" ca="1">'Test A, Time 1'!M5:O5</f>
        <v>2.7687366476021325E-2</v>
      </c>
      <c r="J2">
        <f ca="1"/>
        <v>6.4628977308917396E-2</v>
      </c>
      <c r="K2">
        <f ca="1"/>
        <v>2.7294272285914762</v>
      </c>
      <c r="L2" cm="1">
        <f t="array" aca="1" ref="L2:M2" ca="1">'Test A, Time 1'!M9:N9</f>
        <v>-0.16102831533902554</v>
      </c>
      <c r="M2">
        <f ca="1"/>
        <v>0.21640304829106818</v>
      </c>
      <c r="N2" t="str">
        <f ca="1">'Test A, Time 1'!M13</f>
        <v>Statistically Equivalent</v>
      </c>
    </row>
    <row r="3" spans="1:14" x14ac:dyDescent="0.5">
      <c r="A3" s="2" t="s">
        <v>47</v>
      </c>
      <c r="B3" s="2">
        <v>2</v>
      </c>
      <c r="C3">
        <f>'Test A, Time 2'!A5</f>
        <v>3</v>
      </c>
      <c r="D3" cm="1">
        <f t="array" aca="1" ref="D3:E3" ca="1">'Test A, Time 2'!D5:E5</f>
        <v>1.7571280457328999</v>
      </c>
      <c r="E3">
        <f ca="1"/>
        <v>4.3990608340679933E-3</v>
      </c>
      <c r="F3">
        <f>'Test A, Time 2'!G5</f>
        <v>3</v>
      </c>
      <c r="G3" cm="1">
        <f t="array" aca="1" ref="G3:H3" ca="1">'Test A, Time 2'!J5:K5</f>
        <v>1.8218774253467949</v>
      </c>
      <c r="H3">
        <f ca="1"/>
        <v>0.16200609138356339</v>
      </c>
      <c r="I3" cm="1">
        <f t="array" aca="1" ref="I3:K3" ca="1">'Test A, Time 2'!M5:O5</f>
        <v>6.4749379613894931E-2</v>
      </c>
      <c r="J3">
        <f ca="1"/>
        <v>9.3568736555185869E-2</v>
      </c>
      <c r="K3">
        <f ca="1"/>
        <v>2.0029492867687608</v>
      </c>
      <c r="L3" cm="1">
        <f t="array" aca="1" ref="L3:M3" ca="1">'Test A, Time 2'!M9:N9</f>
        <v>-0.20846998189916427</v>
      </c>
      <c r="M3">
        <f ca="1"/>
        <v>0.33796874112695413</v>
      </c>
      <c r="N3" t="str">
        <f ca="1">'Test A, Time 2'!M13</f>
        <v>Statistically Equivalent</v>
      </c>
    </row>
    <row r="4" spans="1:14" x14ac:dyDescent="0.5">
      <c r="A4" s="2" t="s">
        <v>59</v>
      </c>
      <c r="B4" s="2">
        <v>1</v>
      </c>
      <c r="C4">
        <f>'Test B, Time 1'!A5</f>
        <v>3</v>
      </c>
      <c r="D4" cm="1">
        <f t="array" aca="1" ref="D4:E4" ca="1">'Test B, Time 1'!D5:E5</f>
        <v>1.8387002873739273</v>
      </c>
      <c r="E4">
        <f ca="1"/>
        <v>8.4820159560780609E-2</v>
      </c>
      <c r="F4">
        <f>'Test B, Time 1'!G5</f>
        <v>3</v>
      </c>
      <c r="G4" cm="1">
        <f t="array" aca="1" ref="G4:H4" ca="1">'Test B, Time 1'!J5:K5</f>
        <v>1.7769312049548056</v>
      </c>
      <c r="H4">
        <f ca="1"/>
        <v>0.10266498125865182</v>
      </c>
      <c r="I4" cm="1">
        <f t="array" aca="1" ref="I4:K4" ca="1">'Test B, Time 1'!M5:O5</f>
        <v>-6.1769082419121712E-2</v>
      </c>
      <c r="J4">
        <f ca="1"/>
        <v>7.6886405050471729E-2</v>
      </c>
      <c r="K4">
        <f ca="1"/>
        <v>3.8625357049811906</v>
      </c>
      <c r="L4" cm="1">
        <f t="array" aca="1" ref="L4:M4" ca="1">'Test B, Time 1'!M9:N9</f>
        <v>-0.24271073669826412</v>
      </c>
      <c r="M4">
        <f ca="1"/>
        <v>0.1191725718600207</v>
      </c>
      <c r="N4" t="str">
        <f ca="1">'Test B, Time 1'!M13</f>
        <v>Statistically Equivalent</v>
      </c>
    </row>
    <row r="5" spans="1:14" x14ac:dyDescent="0.5">
      <c r="A5" s="2" t="s">
        <v>59</v>
      </c>
      <c r="B5" s="2">
        <v>2</v>
      </c>
      <c r="C5">
        <f>'Test B, Time 2'!A5</f>
        <v>3</v>
      </c>
      <c r="D5" cm="1">
        <f t="array" aca="1" ref="D5:E5" ca="1">'Test B, Time 2'!D5:E5</f>
        <v>1.8270491481526809</v>
      </c>
      <c r="E5">
        <f ca="1"/>
        <v>7.6391354450112581E-2</v>
      </c>
      <c r="F5">
        <f>'Test B, Time 2'!G5</f>
        <v>3</v>
      </c>
      <c r="G5" cm="1">
        <f t="array" aca="1" ref="G5:H5" ca="1">'Test B, Time 2'!J5:K5</f>
        <v>1.8218774253467949</v>
      </c>
      <c r="H5">
        <f ca="1"/>
        <v>0.16200609138356339</v>
      </c>
      <c r="I5" cm="1">
        <f t="array" aca="1" ref="I5:K5" ca="1">'Test B, Time 2'!M5:O5</f>
        <v>-5.1717228058860698E-3</v>
      </c>
      <c r="J5">
        <f ca="1"/>
        <v>0.10341117392896866</v>
      </c>
      <c r="K5">
        <f ca="1"/>
        <v>2.8474798515510242</v>
      </c>
      <c r="L5" cm="1">
        <f t="array" aca="1" ref="L5:M5" ca="1">'Test B, Time 2'!M9:N9</f>
        <v>-0.30713085952592561</v>
      </c>
      <c r="M5">
        <f ca="1"/>
        <v>0.29678741391415348</v>
      </c>
      <c r="N5" t="str">
        <f ca="1">'Test B, Time 2'!M13</f>
        <v>Statistically Equivalent</v>
      </c>
    </row>
    <row r="22" spans="16:17" x14ac:dyDescent="0.5">
      <c r="P22" s="10"/>
    </row>
    <row r="23" spans="16:17" x14ac:dyDescent="0.5">
      <c r="Q23" s="10"/>
    </row>
  </sheetData>
  <conditionalFormatting sqref="N2">
    <cfRule type="expression" dxfId="9" priority="4">
      <formula>$N$2="Statistically Equivalent"</formula>
    </cfRule>
  </conditionalFormatting>
  <conditionalFormatting sqref="N3">
    <cfRule type="expression" dxfId="8" priority="3">
      <formula>N3="Statistically Equivalent"</formula>
    </cfRule>
  </conditionalFormatting>
  <conditionalFormatting sqref="N5">
    <cfRule type="expression" dxfId="7" priority="2">
      <formula>N5="Statistically Equivalent"</formula>
    </cfRule>
  </conditionalFormatting>
  <conditionalFormatting sqref="N4">
    <cfRule type="expression" dxfId="6" priority="1">
      <formula>N4="Statistically Equivalent"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Parameters</vt:lpstr>
      <vt:lpstr>Example</vt:lpstr>
      <vt:lpstr>Test A, Time 1</vt:lpstr>
      <vt:lpstr>Test A, Time 2</vt:lpstr>
      <vt:lpstr>Test B, Time 1</vt:lpstr>
      <vt:lpstr>Test B, Time 2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Parker, Albert</dc:creator>
  <cp:lastModifiedBy>Ian Novak</cp:lastModifiedBy>
  <dcterms:created xsi:type="dcterms:W3CDTF">2021-03-02T22:10:01Z</dcterms:created>
  <dcterms:modified xsi:type="dcterms:W3CDTF">2021-10-15T14:21:16Z</dcterms:modified>
</cp:coreProperties>
</file>